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9E"/>
  <workbookPr codeName="ThisWorkbook"/>
  <bookViews>
    <workbookView xWindow="15000" yWindow="15" windowWidth="13320" windowHeight="13170" activeTab="4"/>
  </bookViews>
  <sheets>
    <sheet name="Instructions" sheetId="1" r:id="rId1"/>
    <sheet name="Summary" sheetId="2" r:id="rId2"/>
    <sheet name="Pivot" sheetId="3" r:id="rId3"/>
    <sheet name="Transactions" sheetId="4" r:id="rId4"/>
    <sheet name="Sheet1" sheetId="5" r:id="rId5"/>
  </sheets>
  <definedNames>
    <definedName name="AS1_1999" localSheetId="3">'Transactions'!$C$19:$J$26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'Summary'!$C$1:$L$41</definedName>
    <definedName name="_xlnm.Print_Area" localSheetId="3">'Transactions'!$A$1:$R$211</definedName>
    <definedName name="_xlnm.Print_Titles" localSheetId="2">'Pivot'!$3:$4</definedName>
    <definedName name="_xlnm.Print_Titles" localSheetId="3">'Transactions'!$B:$E,'Transactions'!$1:$19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fullCalcOnLoad="1"/>
  <pivotCaches>
    <pivotCache cacheId="4" r:id="rId6"/>
  </pivotCaches>
</workbook>
</file>

<file path=xl/comments4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K3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<sst xmlns="http://schemas.openxmlformats.org/spreadsheetml/2006/main" count="422" uniqueCount="104">
  <si>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</si>
  <si>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</si>
  <si>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</si>
  <si>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</si>
  <si>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</si>
  <si>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</si>
  <si>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</si>
  <si>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</si>
  <si>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</si>
  <si>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</si>
  <si>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</si>
  <si>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</si>
  <si>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</si>
  <si>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</si>
  <si>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</si>
  <si>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</si>
  <si>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</si>
  <si>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</si>
  <si>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</si>
  <si>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</si>
  <si>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</si>
  <si>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</si>
  <si>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</si>
  <si>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</si>
  <si>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</si>
  <si>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</si>
  <si>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</si>
  <si>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</si>
  <si>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</si>
  <si>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</si>
  <si>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</si>
  <si>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</si>
  <si>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</si>
  <si>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</si>
  <si>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</si>
  <si>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</si>
  <si>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</si>
  <si>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</si>
  <si>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</si>
  <si>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</si>
  <si>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</si>
  <si>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</si>
  <si>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</si>
  <si>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</si>
  <si>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</si>
  <si>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</si>
  <si>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</si>
  <si>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</si>
  <si>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</si>
  <si>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</si>
  <si>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</si>
  <si>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</si>
  <si>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</si>
  <si>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</si>
  <si>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</si>
  <si>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</si>
  <si>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</si>
  <si>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</si>
  <si>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</si>
  <si>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</si>
  <si>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</si>
  <si>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</si>
  <si>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</si>
  <si>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</si>
  <si>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</si>
  <si>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</si>
  <si>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</si>
  <si>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</si>
  <si>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</si>
  <si>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</si>
  <si>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</si>
  <si>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</si>
  <si>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</si>
  <si>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</si>
  <si>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</si>
  <si>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</si>
  <si>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</si>
  <si>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</si>
  <si>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</si>
  <si>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</si>
  <si>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</si>
  <si>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</si>
  <si>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</si>
  <si>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</si>
  <si>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 xml:space="preserve">    &lt;&lt; OKLAHOMA TRANSMISSION COMPANY &gt;&gt;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</si>
  <si>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</si>
  <si>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</si>
  <si>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</si>
  <si>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</si>
  <si>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</si>
  <si>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</si>
  <si>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2018 True Up Including Interest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</si>
  <si>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</si>
  <si>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</si>
  <si>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</si>
  <si>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</si>
  <si>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</si>
  <si>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</si>
  <si>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</si>
  <si>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(H)</t>
  </si>
  <si>
    <t xml:space="preserve"> (I) = (G) + (H)</t>
  </si>
  <si>
    <t>2017 ROE Refund</t>
  </si>
  <si>
    <t>Total NITS Surcharge / Refun</t>
  </si>
  <si>
    <t>AEPTCo Formula Rate -- FERC Docket ER18-194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</si>
</sst>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_(* #,##0.0_);_(* \(#,##0.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$&quot;#,##0.0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64" fontId="0" fillId="0" borderId="0" xfId="0" applyNumberFormat="1" applyAlignment="1">
      <alignment horizontal="center"/>
    </xf>
    <xf numFmtId="10" fontId="0" fillId="0" borderId="0" xfId="60" applyNumberFormat="1" applyFont="1" applyAlignment="1">
      <alignment horizontal="center"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2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0" fontId="0" fillId="0" borderId="0" xfId="0" applyFill="1" applyAlignment="1">
      <alignment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9" fontId="0" fillId="0" borderId="0" xfId="60" applyFont="1" applyAlignment="1">
      <alignment horizontal="center"/>
    </xf>
    <xf numFmtId="166" fontId="0" fillId="0" borderId="0" xfId="44" applyNumberFormat="1" applyFont="1" applyAlignment="1">
      <alignment horizontal="center"/>
    </xf>
    <xf numFmtId="0" fontId="0" fillId="0" borderId="15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167" fontId="0" fillId="0" borderId="0" xfId="42" applyNumberFormat="1" applyFont="1" applyFill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4" fontId="0" fillId="0" borderId="16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167" fontId="0" fillId="0" borderId="0" xfId="42" applyNumberFormat="1" applyFont="1" applyFill="1" applyAlignment="1" quotePrefix="1">
      <alignment horizontal="left"/>
    </xf>
    <xf numFmtId="17" fontId="0" fillId="0" borderId="15" xfId="0" applyNumberFormat="1" applyBorder="1" applyAlignment="1">
      <alignment horizontal="center"/>
    </xf>
    <xf numFmtId="0" fontId="0" fillId="0" borderId="15" xfId="0" applyBorder="1" applyAlignment="1" quotePrefix="1">
      <alignment horizontal="left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2" fillId="0" borderId="17" xfId="0" applyNumberFormat="1" applyFont="1" applyBorder="1" applyAlignment="1" quotePrefix="1">
      <alignment horizontal="center" vertical="center" wrapText="1"/>
    </xf>
    <xf numFmtId="164" fontId="2" fillId="0" borderId="18" xfId="0" applyNumberFormat="1" applyFont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/>
    </xf>
    <xf numFmtId="44" fontId="3" fillId="0" borderId="12" xfId="44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14" fontId="0" fillId="0" borderId="16" xfId="0" applyNumberFormat="1" applyFont="1" applyFill="1" applyBorder="1" applyAlignment="1" quotePrefix="1">
      <alignment horizontal="left"/>
    </xf>
    <xf numFmtId="0" fontId="6" fillId="33" borderId="0" xfId="0" applyFont="1" applyFill="1" applyBorder="1" applyAlignment="1">
      <alignment horizontal="left"/>
    </xf>
    <xf numFmtId="14" fontId="6" fillId="33" borderId="0" xfId="0" applyNumberFormat="1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left"/>
    </xf>
    <xf numFmtId="164" fontId="8" fillId="0" borderId="23" xfId="0" applyNumberFormat="1" applyFont="1" applyBorder="1" applyAlignment="1">
      <alignment horizontal="center" wrapText="1"/>
    </xf>
    <xf numFmtId="164" fontId="2" fillId="0" borderId="23" xfId="0" applyNumberFormat="1" applyFont="1" applyBorder="1" applyAlignment="1" quotePrefix="1">
      <alignment horizontal="center" wrapText="1"/>
    </xf>
    <xf numFmtId="168" fontId="0" fillId="0" borderId="18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68" fontId="0" fillId="34" borderId="24" xfId="0" applyNumberFormat="1" applyFill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7" fontId="0" fillId="0" borderId="25" xfId="0" applyNumberFormat="1" applyBorder="1" applyAlignment="1">
      <alignment horizontal="center"/>
    </xf>
    <xf numFmtId="14" fontId="6" fillId="33" borderId="25" xfId="0" applyNumberFormat="1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166" fontId="0" fillId="0" borderId="0" xfId="44" applyNumberFormat="1" applyFont="1" applyBorder="1" applyAlignment="1">
      <alignment/>
    </xf>
    <xf numFmtId="0" fontId="0" fillId="0" borderId="20" xfId="0" applyBorder="1" applyAlignment="1">
      <alignment/>
    </xf>
    <xf numFmtId="166" fontId="0" fillId="0" borderId="16" xfId="44" applyNumberFormat="1" applyFont="1" applyBorder="1" applyAlignment="1">
      <alignment/>
    </xf>
    <xf numFmtId="166" fontId="0" fillId="0" borderId="26" xfId="44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 quotePrefix="1">
      <alignment horizontal="center" vertical="center" wrapText="1"/>
    </xf>
    <xf numFmtId="0" fontId="1" fillId="0" borderId="23" xfId="0" applyFont="1" applyBorder="1" applyAlignment="1" quotePrefix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5" xfId="0" applyNumberFormat="1" applyFont="1" applyFill="1" applyBorder="1" applyAlignment="1" quotePrefix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Border="1" applyAlignment="1" quotePrefix="1">
      <alignment horizontal="left"/>
    </xf>
    <xf numFmtId="0" fontId="1" fillId="0" borderId="29" xfId="0" applyFont="1" applyBorder="1" applyAlignment="1">
      <alignment horizontal="center"/>
    </xf>
    <xf numFmtId="0" fontId="10" fillId="0" borderId="15" xfId="0" applyFont="1" applyFill="1" applyBorder="1" applyAlignment="1" quotePrefix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left"/>
    </xf>
    <xf numFmtId="0" fontId="12" fillId="0" borderId="0" xfId="0" applyFont="1" applyBorder="1" applyAlignment="1" quotePrefix="1">
      <alignment horizontal="left" vertical="center"/>
    </xf>
    <xf numFmtId="0" fontId="12" fillId="0" borderId="29" xfId="0" applyFont="1" applyBorder="1" applyAlignment="1" quotePrefix="1">
      <alignment horizontal="left" vertical="center"/>
    </xf>
    <xf numFmtId="0" fontId="12" fillId="0" borderId="33" xfId="0" applyFont="1" applyBorder="1" applyAlignment="1" quotePrefix="1">
      <alignment horizontal="left" vertical="center"/>
    </xf>
    <xf numFmtId="0" fontId="12" fillId="0" borderId="20" xfId="0" applyFont="1" applyBorder="1" applyAlignment="1" quotePrefix="1">
      <alignment horizontal="left" vertical="center"/>
    </xf>
    <xf numFmtId="0" fontId="1" fillId="0" borderId="34" xfId="0" applyFont="1" applyBorder="1" applyAlignment="1" quotePrefix="1">
      <alignment horizontal="center" vertical="center" wrapText="1"/>
    </xf>
    <xf numFmtId="0" fontId="12" fillId="0" borderId="35" xfId="0" applyFont="1" applyBorder="1" applyAlignment="1" quotePrefix="1">
      <alignment horizontal="right"/>
    </xf>
    <xf numFmtId="0" fontId="13" fillId="0" borderId="14" xfId="0" applyFont="1" applyFill="1" applyBorder="1" applyAlignment="1" quotePrefix="1">
      <alignment horizontal="center" vertical="center"/>
    </xf>
    <xf numFmtId="0" fontId="12" fillId="0" borderId="14" xfId="0" applyFont="1" applyBorder="1" applyAlignment="1" quotePrefix="1">
      <alignment horizontal="left" vertical="center"/>
    </xf>
    <xf numFmtId="0" fontId="12" fillId="0" borderId="15" xfId="0" applyFont="1" applyBorder="1" applyAlignment="1" quotePrefix="1">
      <alignment horizontal="left" vertical="center"/>
    </xf>
    <xf numFmtId="0" fontId="0" fillId="0" borderId="12" xfId="0" applyBorder="1" applyAlignment="1" quotePrefix="1">
      <alignment horizontal="right"/>
    </xf>
    <xf numFmtId="0" fontId="0" fillId="0" borderId="12" xfId="0" applyBorder="1" applyAlignment="1">
      <alignment horizontal="center"/>
    </xf>
    <xf numFmtId="166" fontId="0" fillId="0" borderId="36" xfId="44" applyNumberFormat="1" applyFont="1" applyBorder="1" applyAlignment="1">
      <alignment vertical="center"/>
    </xf>
    <xf numFmtId="166" fontId="0" fillId="0" borderId="37" xfId="44" applyNumberFormat="1" applyFont="1" applyBorder="1" applyAlignment="1">
      <alignment vertical="center"/>
    </xf>
    <xf numFmtId="166" fontId="0" fillId="0" borderId="38" xfId="44" applyNumberFormat="1" applyFont="1" applyBorder="1" applyAlignment="1">
      <alignment vertical="center"/>
    </xf>
    <xf numFmtId="0" fontId="8" fillId="0" borderId="22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12" fillId="0" borderId="33" xfId="0" applyFont="1" applyBorder="1" applyAlignment="1" quotePrefix="1">
      <alignment horizontal="center"/>
    </xf>
    <xf numFmtId="14" fontId="0" fillId="0" borderId="25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2" fillId="0" borderId="18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0" fontId="1" fillId="0" borderId="39" xfId="0" applyFont="1" applyBorder="1" applyAlignment="1" quotePrefix="1">
      <alignment horizontal="left" vertical="center" wrapText="1"/>
    </xf>
    <xf numFmtId="0" fontId="8" fillId="0" borderId="40" xfId="0" applyFont="1" applyFill="1" applyBorder="1" applyAlignment="1" quotePrefix="1">
      <alignment horizontal="left" vertical="center" wrapText="1"/>
    </xf>
    <xf numFmtId="166" fontId="0" fillId="0" borderId="17" xfId="44" applyNumberFormat="1" applyFont="1" applyFill="1" applyBorder="1" applyAlignment="1">
      <alignment vertical="center"/>
    </xf>
    <xf numFmtId="166" fontId="0" fillId="0" borderId="18" xfId="44" applyNumberFormat="1" applyFont="1" applyFill="1" applyBorder="1" applyAlignment="1">
      <alignment vertical="center"/>
    </xf>
    <xf numFmtId="166" fontId="1" fillId="0" borderId="41" xfId="44" applyNumberFormat="1" applyFont="1" applyFill="1" applyBorder="1" applyAlignment="1">
      <alignment vertical="center"/>
    </xf>
    <xf numFmtId="164" fontId="1" fillId="0" borderId="24" xfId="0" applyNumberFormat="1" applyFont="1" applyBorder="1" applyAlignment="1">
      <alignment horizontal="right"/>
    </xf>
    <xf numFmtId="14" fontId="0" fillId="0" borderId="15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0" fillId="0" borderId="14" xfId="0" applyNumberFormat="1" applyFont="1" applyFill="1" applyBorder="1" applyAlignment="1" quotePrefix="1">
      <alignment horizontal="center" vertical="center"/>
    </xf>
    <xf numFmtId="164" fontId="2" fillId="35" borderId="18" xfId="0" applyNumberFormat="1" applyFont="1" applyFill="1" applyBorder="1" applyAlignment="1" quotePrefix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1" xfId="0" applyFont="1" applyBorder="1" applyAlignment="1" quotePrefix="1">
      <alignment horizontal="center" vertical="center" wrapText="1"/>
    </xf>
    <xf numFmtId="164" fontId="2" fillId="0" borderId="23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21" xfId="0" applyBorder="1" applyAlignment="1">
      <alignment/>
    </xf>
    <xf numFmtId="171" fontId="0" fillId="0" borderId="21" xfId="60" applyNumberFormat="1" applyFont="1" applyBorder="1" applyAlignment="1">
      <alignment horizontal="center"/>
    </xf>
    <xf numFmtId="171" fontId="0" fillId="0" borderId="21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33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164" fontId="2" fillId="0" borderId="20" xfId="0" applyNumberFormat="1" applyFont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 vertical="center"/>
    </xf>
    <xf numFmtId="168" fontId="0" fillId="0" borderId="35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 quotePrefix="1">
      <alignment horizontal="center" vertical="center"/>
    </xf>
    <xf numFmtId="0" fontId="8" fillId="36" borderId="40" xfId="0" applyFont="1" applyFill="1" applyBorder="1" applyAlignment="1" quotePrefix="1">
      <alignment horizontal="left" vertical="center" wrapText="1"/>
    </xf>
    <xf numFmtId="166" fontId="0" fillId="36" borderId="17" xfId="44" applyNumberFormat="1" applyFont="1" applyFill="1" applyBorder="1" applyAlignment="1">
      <alignment vertical="center"/>
    </xf>
    <xf numFmtId="166" fontId="0" fillId="36" borderId="18" xfId="44" applyNumberFormat="1" applyFont="1" applyFill="1" applyBorder="1" applyAlignment="1">
      <alignment vertical="center"/>
    </xf>
    <xf numFmtId="166" fontId="1" fillId="36" borderId="41" xfId="44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16" fillId="0" borderId="14" xfId="0" applyNumberFormat="1" applyFont="1" applyFill="1" applyBorder="1" applyAlignment="1" quotePrefix="1">
      <alignment horizontal="left"/>
    </xf>
    <xf numFmtId="10" fontId="0" fillId="0" borderId="14" xfId="60" applyNumberFormat="1" applyFont="1" applyFill="1" applyBorder="1" applyAlignment="1" quotePrefix="1">
      <alignment horizontal="center"/>
    </xf>
    <xf numFmtId="0" fontId="11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 quotePrefix="1">
      <alignment horizontal="left"/>
    </xf>
    <xf numFmtId="0" fontId="0" fillId="33" borderId="0" xfId="0" applyFont="1" applyFill="1" applyAlignment="1" quotePrefix="1">
      <alignment horizontal="left"/>
    </xf>
    <xf numFmtId="0" fontId="53" fillId="37" borderId="0" xfId="0" applyFont="1" applyFill="1" applyAlignment="1">
      <alignment/>
    </xf>
    <xf numFmtId="0" fontId="17" fillId="37" borderId="0" xfId="0" applyFont="1" applyFill="1" applyAlignment="1">
      <alignment/>
    </xf>
    <xf numFmtId="168" fontId="6" fillId="37" borderId="0" xfId="0" applyNumberFormat="1" applyFont="1" applyFill="1" applyBorder="1" applyAlignment="1">
      <alignment horizontal="right"/>
    </xf>
    <xf numFmtId="164" fontId="6" fillId="37" borderId="0" xfId="0" applyNumberFormat="1" applyFont="1" applyFill="1" applyBorder="1" applyAlignment="1">
      <alignment horizontal="right"/>
    </xf>
    <xf numFmtId="167" fontId="0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43" xfId="0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0" fontId="54" fillId="0" borderId="0" xfId="60" applyNumberFormat="1" applyFont="1" applyBorder="1" applyAlignment="1" quotePrefix="1">
      <alignment horizontal="left"/>
    </xf>
    <xf numFmtId="14" fontId="0" fillId="0" borderId="15" xfId="0" applyNumberFormat="1" applyBorder="1" applyAlignment="1" quotePrefix="1">
      <alignment horizontal="left"/>
    </xf>
    <xf numFmtId="167" fontId="0" fillId="0" borderId="0" xfId="0" applyNumberFormat="1" applyAlignment="1">
      <alignment/>
    </xf>
    <xf numFmtId="14" fontId="6" fillId="37" borderId="0" xfId="57" applyNumberFormat="1" applyFont="1" applyFill="1" applyBorder="1">
      <alignment/>
      <protection/>
    </xf>
    <xf numFmtId="14" fontId="6" fillId="33" borderId="15" xfId="57" applyNumberFormat="1" applyFont="1" applyFill="1" applyBorder="1">
      <alignment/>
      <protection/>
    </xf>
    <xf numFmtId="14" fontId="6" fillId="37" borderId="15" xfId="57" applyNumberFormat="1" applyFont="1" applyFill="1" applyBorder="1">
      <alignment/>
      <protection/>
    </xf>
    <xf numFmtId="1" fontId="7" fillId="37" borderId="0" xfId="0" applyNumberFormat="1" applyFont="1" applyFill="1" applyBorder="1" applyAlignment="1">
      <alignment horizontal="center"/>
    </xf>
    <xf numFmtId="1" fontId="7" fillId="37" borderId="15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17" fontId="0" fillId="0" borderId="44" xfId="0" applyNumberFormat="1" applyBorder="1" applyAlignment="1">
      <alignment/>
    </xf>
    <xf numFmtId="17" fontId="0" fillId="0" borderId="47" xfId="0" applyNumberFormat="1" applyBorder="1" applyAlignment="1">
      <alignment/>
    </xf>
    <xf numFmtId="17" fontId="0" fillId="0" borderId="48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7" fontId="0" fillId="0" borderId="44" xfId="0" applyNumberFormat="1" applyBorder="1" applyAlignment="1">
      <alignment/>
    </xf>
    <xf numFmtId="167" fontId="0" fillId="0" borderId="47" xfId="0" applyNumberFormat="1" applyBorder="1" applyAlignment="1">
      <alignment/>
    </xf>
    <xf numFmtId="167" fontId="0" fillId="0" borderId="48" xfId="0" applyNumberFormat="1" applyBorder="1" applyAlignment="1">
      <alignment/>
    </xf>
    <xf numFmtId="167" fontId="11" fillId="0" borderId="49" xfId="0" applyNumberFormat="1" applyFont="1" applyBorder="1" applyAlignment="1">
      <alignment/>
    </xf>
    <xf numFmtId="167" fontId="11" fillId="0" borderId="0" xfId="0" applyNumberFormat="1" applyFont="1" applyAlignment="1">
      <alignment/>
    </xf>
    <xf numFmtId="167" fontId="11" fillId="0" borderId="51" xfId="0" applyNumberFormat="1" applyFont="1" applyBorder="1" applyAlignment="1">
      <alignment/>
    </xf>
    <xf numFmtId="167" fontId="0" fillId="0" borderId="49" xfId="0" applyNumberFormat="1" applyBorder="1" applyAlignment="1">
      <alignment/>
    </xf>
    <xf numFmtId="167" fontId="0" fillId="0" borderId="51" xfId="0" applyNumberFormat="1" applyBorder="1" applyAlignment="1">
      <alignment/>
    </xf>
    <xf numFmtId="167" fontId="11" fillId="0" borderId="44" xfId="0" applyNumberFormat="1" applyFont="1" applyBorder="1" applyAlignment="1">
      <alignment/>
    </xf>
    <xf numFmtId="167" fontId="11" fillId="0" borderId="47" xfId="0" applyNumberFormat="1" applyFont="1" applyBorder="1" applyAlignment="1">
      <alignment/>
    </xf>
    <xf numFmtId="167" fontId="11" fillId="0" borderId="48" xfId="0" applyNumberFormat="1" applyFont="1" applyBorder="1" applyAlignment="1">
      <alignment/>
    </xf>
    <xf numFmtId="167" fontId="0" fillId="0" borderId="50" xfId="0" applyNumberFormat="1" applyBorder="1" applyAlignment="1">
      <alignment/>
    </xf>
    <xf numFmtId="167" fontId="0" fillId="0" borderId="52" xfId="0" applyNumberFormat="1" applyBorder="1" applyAlignment="1">
      <alignment/>
    </xf>
    <xf numFmtId="167" fontId="0" fillId="0" borderId="53" xfId="0" applyNumberFormat="1" applyBorder="1" applyAlignment="1">
      <alignment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 quotePrefix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71" fontId="0" fillId="0" borderId="0" xfId="60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12" fillId="0" borderId="0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168" fontId="0" fillId="0" borderId="0" xfId="0" applyNumberFormat="1" applyFont="1" applyAlignment="1" quotePrefix="1">
      <alignment/>
    </xf>
    <xf numFmtId="0" fontId="1" fillId="0" borderId="54" xfId="0" applyFont="1" applyBorder="1" applyAlignment="1" quotePrefix="1">
      <alignment horizontal="center" vertical="center" wrapText="1"/>
    </xf>
    <xf numFmtId="0" fontId="1" fillId="0" borderId="42" xfId="0" applyFont="1" applyBorder="1" applyAlignment="1" quotePrefix="1">
      <alignment horizontal="center" vertical="center" wrapText="1"/>
    </xf>
    <xf numFmtId="166" fontId="0" fillId="0" borderId="10" xfId="44" applyNumberFormat="1" applyFont="1" applyBorder="1" applyAlignment="1">
      <alignment/>
    </xf>
    <xf numFmtId="166" fontId="0" fillId="0" borderId="21" xfId="44" applyNumberFormat="1" applyFont="1" applyBorder="1" applyAlignment="1">
      <alignment/>
    </xf>
    <xf numFmtId="166" fontId="1" fillId="36" borderId="24" xfId="44" applyNumberFormat="1" applyFont="1" applyFill="1" applyBorder="1" applyAlignment="1">
      <alignment vertical="center"/>
    </xf>
    <xf numFmtId="166" fontId="1" fillId="36" borderId="55" xfId="44" applyNumberFormat="1" applyFont="1" applyFill="1" applyBorder="1" applyAlignment="1">
      <alignment vertical="center"/>
    </xf>
    <xf numFmtId="166" fontId="1" fillId="0" borderId="24" xfId="44" applyNumberFormat="1" applyFont="1" applyFill="1" applyBorder="1" applyAlignment="1">
      <alignment vertical="center"/>
    </xf>
    <xf numFmtId="166" fontId="1" fillId="0" borderId="55" xfId="44" applyNumberFormat="1" applyFont="1" applyFill="1" applyBorder="1" applyAlignment="1">
      <alignment vertical="center"/>
    </xf>
    <xf numFmtId="166" fontId="0" fillId="0" borderId="56" xfId="44" applyNumberFormat="1" applyFont="1" applyBorder="1" applyAlignment="1">
      <alignment vertical="center"/>
    </xf>
    <xf numFmtId="166" fontId="0" fillId="0" borderId="57" xfId="44" applyNumberFormat="1" applyFont="1" applyBorder="1" applyAlignment="1">
      <alignment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numFmt numFmtId="2" formatCode="0.00"/>
      <border/>
    </dxf>
    <dxf>
      <numFmt numFmtId="43" formatCode="_(* #,##0.00_);_(* \(#,##0.00\);_(* &quot;-&quot;??_);_(@_)"/>
      <border/>
    </dxf>
    <dxf>
      <numFmt numFmtId="167" formatCode="_(* #,##0_);_(* \(#,##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R211" sheet="Transactions"/>
  </cacheSource>
  <cacheFields count="17">
    <cacheField name="Serivce Month">
      <sharedItems containsSemiMixedTypes="0" containsNonDate="0" containsDate="1" containsString="0" containsMixedTypes="0" count="108">
        <d v="2018-01-01T00:00:00.000"/>
        <d v="2018-02-01T00:00:00.000"/>
        <d v="2018-03-01T00:00:00.000"/>
        <d v="2018-04-01T00:00:00.000"/>
        <d v="2018-05-01T00:00:00.000"/>
        <d v="2018-06-01T00:00:00.000"/>
        <d v="2018-07-01T00:00:00.000"/>
        <d v="2018-08-01T00:00:00.000"/>
        <d v="2018-09-01T00:00:00.000"/>
        <d v="2018-10-01T00:00:00.000"/>
        <d v="2018-11-01T00:00:00.000"/>
        <d v="2018-12-01T00:00:00.000"/>
        <d v="2014-08-01T00:00:00.000"/>
        <d v="2015-08-01T00:00:00.000"/>
        <d v="2016-08-01T00:00:00.000"/>
        <d v="2010-07-01T00:00:00.000"/>
        <d v="2017-08-01T00:00:00.000"/>
        <d v="2011-07-01T00:00:00.000"/>
        <d v="2012-07-01T00:00:00.000"/>
        <d v="2013-07-01T00:00:00.000"/>
        <d v="2014-07-01T00:00:00.000"/>
        <d v="2015-07-01T00:00:00.000"/>
        <d v="2016-07-01T00:00:00.000"/>
        <d v="2010-06-01T00:00:00.000"/>
        <d v="2017-07-01T00:00:00.000"/>
        <d v="2011-06-01T00:00:00.000"/>
        <d v="2012-06-01T00:00:00.000"/>
        <d v="2013-06-01T00:00:00.000"/>
        <d v="2014-06-01T00:00:00.000"/>
        <d v="2015-06-01T00:00:00.000"/>
        <d v="2016-06-01T00:00:00.000"/>
        <d v="2010-05-01T00:00:00.000"/>
        <d v="2017-06-01T00:00:00.000"/>
        <d v="2011-05-01T00:00:00.000"/>
        <d v="2012-05-01T00:00:00.000"/>
        <d v="2013-05-01T00:00:00.000"/>
        <d v="2014-05-01T00:00:00.000"/>
        <d v="2015-05-01T00:00:00.000"/>
        <d v="2016-05-01T00:00:00.000"/>
        <d v="2010-04-01T00:00:00.000"/>
        <d v="2017-05-01T00:00:00.000"/>
        <d v="2011-04-01T00:00:00.000"/>
        <d v="2012-04-01T00:00:00.000"/>
        <d v="2013-04-01T00:00:00.000"/>
        <d v="2014-04-01T00:00:00.000"/>
        <d v="2015-04-01T00:00:00.000"/>
        <d v="2016-04-01T00:00:00.000"/>
        <d v="2010-03-01T00:00:00.000"/>
        <d v="2017-04-01T00:00:00.000"/>
        <d v="2011-03-01T00:00:00.000"/>
        <d v="2012-03-01T00:00:00.000"/>
        <d v="2013-03-01T00:00:00.000"/>
        <d v="2014-03-01T00:00:00.000"/>
        <d v="2015-03-01T00:00:00.000"/>
        <d v="2016-03-01T00:00:00.000"/>
        <d v="2010-02-01T00:00:00.000"/>
        <d v="2017-03-01T00:00:00.000"/>
        <d v="2010-12-01T00:00:00.000"/>
        <d v="2011-02-01T00:00:00.000"/>
        <d v="2011-12-01T00:00:00.000"/>
        <d v="2012-02-01T00:00:00.000"/>
        <d v="2012-12-01T00:00:00.000"/>
        <d v="2013-02-01T00:00:00.000"/>
        <d v="2013-12-01T00:00:00.000"/>
        <d v="2014-02-01T00:00:00.000"/>
        <d v="2014-12-01T00:00:00.000"/>
        <d v="2015-02-01T00:00:00.000"/>
        <d v="2015-12-01T00:00:00.000"/>
        <d v="2016-02-01T00:00:00.000"/>
        <d v="2010-01-01T00:00:00.000"/>
        <d v="2016-12-01T00:00:00.000"/>
        <d v="2017-02-01T00:00:00.000"/>
        <d v="2010-11-01T00:00:00.000"/>
        <d v="2011-01-01T00:00:00.000"/>
        <d v="2017-12-01T00:00:00.000"/>
        <d v="2011-11-01T00:00:00.000"/>
        <d v="2012-01-01T00:00:00.000"/>
        <d v="2012-11-01T00:00:00.000"/>
        <d v="2013-01-01T00:00:00.000"/>
        <d v="2013-11-01T00:00:00.000"/>
        <d v="2014-01-01T00:00:00.000"/>
        <d v="2014-11-01T00:00:00.000"/>
        <d v="2015-01-01T00:00:00.000"/>
        <d v="2015-11-01T00:00:00.000"/>
        <d v="2016-01-01T00:00:00.000"/>
        <d v="2016-11-01T00:00:00.000"/>
        <d v="2017-01-01T00:00:00.000"/>
        <d v="2010-10-01T00:00:00.000"/>
        <d v="2017-11-01T00:00:00.000"/>
        <d v="2011-10-01T00:00:00.000"/>
        <d v="2012-10-01T00:00:00.000"/>
        <d v="2013-10-01T00:00:00.000"/>
        <d v="2014-10-01T00:00:00.000"/>
        <d v="2015-10-01T00:00:00.000"/>
        <d v="2016-10-01T00:00:00.000"/>
        <d v="2010-09-01T00:00:00.000"/>
        <d v="2017-10-01T00:00:00.000"/>
        <d v="2011-09-01T00:00:00.000"/>
        <d v="2012-09-01T00:00:00.000"/>
        <d v="2013-09-01T00:00:00.000"/>
        <d v="2014-09-01T00:00:00.000"/>
        <d v="2015-09-01T00:00:00.000"/>
        <d v="2016-09-01T00:00:00.000"/>
        <d v="2010-08-01T00:00:00.000"/>
        <d v="2017-09-01T00:00:00.000"/>
        <d v="2011-08-01T00:00:00.000"/>
        <d v="2012-08-01T00:00:00.000"/>
        <d v="2013-08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/>
        <s v="Hope"/>
        <s v="NTEC"/>
        <s v="TEXLA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2018 True Up Including Interest">
      <sharedItems containsSemiMixedTypes="0" containsString="0" containsMixedTypes="0" containsNumber="1"/>
    </cacheField>
    <cacheField name="Tax Rebilling Rate">
      <sharedItems containsSemiMixedTypes="0" containsString="0" containsMixedTypes="0" containsNumber="1"/>
    </cacheField>
    <cacheField name="Tax True Up Billing">
      <sharedItems containsSemiMixedTypes="0" containsString="0" containsMixedTypes="0" containsNumber="1"/>
    </cacheField>
    <cacheField name="Tax True Up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123" firstHeaderRow="1" firstDataRow="2" firstDataCol="2"/>
  <pivotFields count="17">
    <pivotField axis="axisCol" compact="0" outline="0" subtotalTop="0" showAll="0" numFmtId="17">
      <items count="109">
        <item m="1" x="69"/>
        <item m="1" x="55"/>
        <item m="1" x="47"/>
        <item m="1" x="39"/>
        <item m="1" x="31"/>
        <item m="1" x="23"/>
        <item m="1" x="15"/>
        <item m="1" x="103"/>
        <item m="1" x="95"/>
        <item m="1" x="87"/>
        <item m="1" x="72"/>
        <item m="1" x="57"/>
        <item m="1" x="73"/>
        <item m="1" x="58"/>
        <item m="1" x="49"/>
        <item m="1" x="41"/>
        <item m="1" x="33"/>
        <item m="1" x="25"/>
        <item m="1" x="17"/>
        <item m="1" x="105"/>
        <item m="1" x="97"/>
        <item m="1" x="89"/>
        <item m="1" x="75"/>
        <item m="1" x="59"/>
        <item m="1" x="76"/>
        <item m="1" x="60"/>
        <item m="1" x="50"/>
        <item m="1" x="42"/>
        <item m="1" x="34"/>
        <item m="1" x="26"/>
        <item m="1" x="18"/>
        <item m="1" x="106"/>
        <item m="1" x="98"/>
        <item m="1" x="90"/>
        <item m="1" x="77"/>
        <item m="1" x="61"/>
        <item m="1" x="78"/>
        <item m="1" x="62"/>
        <item m="1" x="51"/>
        <item m="1" x="43"/>
        <item m="1" x="35"/>
        <item m="1" x="27"/>
        <item m="1" x="19"/>
        <item m="1" x="107"/>
        <item m="1" x="99"/>
        <item m="1" x="91"/>
        <item m="1" x="79"/>
        <item m="1" x="63"/>
        <item m="1" x="80"/>
        <item m="1" x="64"/>
        <item m="1" x="52"/>
        <item m="1" x="44"/>
        <item m="1" x="36"/>
        <item m="1" x="28"/>
        <item m="1" x="20"/>
        <item m="1" x="12"/>
        <item m="1" x="100"/>
        <item m="1" x="92"/>
        <item m="1" x="81"/>
        <item m="1" x="65"/>
        <item m="1" x="82"/>
        <item m="1" x="66"/>
        <item m="1" x="53"/>
        <item m="1" x="45"/>
        <item m="1" x="37"/>
        <item m="1" x="29"/>
        <item m="1" x="21"/>
        <item m="1" x="13"/>
        <item m="1" x="101"/>
        <item m="1" x="93"/>
        <item m="1" x="83"/>
        <item m="1" x="67"/>
        <item m="1" x="84"/>
        <item m="1" x="68"/>
        <item m="1" x="54"/>
        <item m="1" x="46"/>
        <item m="1" x="38"/>
        <item m="1" x="30"/>
        <item m="1" x="22"/>
        <item m="1" x="14"/>
        <item m="1" x="102"/>
        <item m="1" x="94"/>
        <item m="1" x="85"/>
        <item m="1" x="70"/>
        <item m="1" x="86"/>
        <item m="1" x="71"/>
        <item m="1" x="56"/>
        <item m="1" x="48"/>
        <item m="1" x="40"/>
        <item m="1" x="32"/>
        <item m="1" x="24"/>
        <item m="1" x="16"/>
        <item m="1" x="104"/>
        <item m="1" x="96"/>
        <item m="1" x="88"/>
        <item m="1" x="7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compact="0" outline="0" subtotalTop="0" showAll="0" numFmtId="164" defaultSubtotal="0"/>
    <pivotField compact="0" outline="0" subtotalTop="0" showAll="0" numFmtId="164" defaultSubtotal="0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119">
    <i>
      <x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2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3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4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6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8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9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1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2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4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6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7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8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19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20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>
      <x v="21"/>
      <x/>
    </i>
    <i i="1" r="1">
      <x v="1"/>
    </i>
    <i i="2" r="1">
      <x v="2"/>
    </i>
    <i i="3" r="1">
      <x v="3"/>
    </i>
    <i i="4" r="1">
      <x v="4"/>
    </i>
    <i i="5" r="1">
      <x v="5"/>
    </i>
    <i i="6" r="1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21">
    <format dxfId="0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1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2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  <format dxfId="3">
      <pivotArea outline="0" fieldPosition="0">
        <references count="3">
          <reference field="4294967294" count="1">
            <x v="2"/>
          </reference>
          <reference field="0" count="1">
            <x v="60"/>
          </reference>
          <reference field="3" count="1">
            <x v="20"/>
          </reference>
        </references>
      </pivotArea>
    </format>
    <format dxfId="3">
      <pivotArea outline="0" fieldPosition="0">
        <references count="3">
          <reference field="4294967294" count="1">
            <x v="3"/>
          </reference>
          <reference field="0" count="1">
            <x v="60"/>
          </reference>
          <reference field="3" count="1">
            <x v="20"/>
          </reference>
        </references>
      </pivotArea>
    </format>
    <format dxfId="4">
      <pivotArea outline="0" fieldPosition="0" grandCol="1" grandRow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65</v>
      </c>
    </row>
    <row r="3" spans="1:2" ht="12.75">
      <c r="A3" s="23">
        <v>1</v>
      </c>
      <c r="B3" s="15" t="s">
        <v>67</v>
      </c>
    </row>
    <row r="4" spans="1:2" ht="12.75">
      <c r="A4" s="23">
        <v>2</v>
      </c>
      <c r="B4" s="15" t="s">
        <v>66</v>
      </c>
    </row>
    <row r="5" spans="1:2" ht="12.75">
      <c r="A5" s="23">
        <v>3</v>
      </c>
      <c r="B5" s="15" t="s">
        <v>68</v>
      </c>
    </row>
    <row r="6" spans="1:2" ht="12.75">
      <c r="A6" s="23">
        <v>4</v>
      </c>
      <c r="B6" s="177" t="s">
        <v>82</v>
      </c>
    </row>
    <row r="7" spans="1:2" ht="12.75">
      <c r="A7" s="23">
        <v>5</v>
      </c>
      <c r="B7" s="15" t="s">
        <v>69</v>
      </c>
    </row>
    <row r="8" spans="1:2" ht="12.75">
      <c r="A8" s="23">
        <v>6</v>
      </c>
      <c r="B8" s="15" t="s">
        <v>70</v>
      </c>
    </row>
    <row r="9" spans="1:2" ht="12.75">
      <c r="A9" s="23">
        <v>7</v>
      </c>
      <c r="B9" s="2" t="s">
        <v>71</v>
      </c>
    </row>
    <row r="10" spans="1:2" ht="12.75">
      <c r="A10" s="23">
        <v>8</v>
      </c>
      <c r="B10" s="15" t="s">
        <v>74</v>
      </c>
    </row>
    <row r="11" spans="1:2" ht="12.75">
      <c r="A11" s="23"/>
      <c r="B11" s="15" t="s">
        <v>75</v>
      </c>
    </row>
    <row r="12" spans="1:2" ht="12.75">
      <c r="A12" s="23"/>
      <c r="B12" s="2" t="s">
        <v>76</v>
      </c>
    </row>
    <row r="13" spans="1:2" ht="12.75">
      <c r="A13" s="23"/>
      <c r="B13" s="2" t="s">
        <v>77</v>
      </c>
    </row>
    <row r="14" spans="1:2" ht="12.75">
      <c r="A14" s="23">
        <v>9</v>
      </c>
      <c r="B14" s="15" t="s">
        <v>78</v>
      </c>
    </row>
    <row r="15" spans="1:2" ht="12.75">
      <c r="A15" s="23">
        <v>10</v>
      </c>
      <c r="B15" s="15" t="s">
        <v>80</v>
      </c>
    </row>
    <row r="16" spans="1:2" ht="12.75">
      <c r="A16" s="23">
        <v>11</v>
      </c>
      <c r="B16" s="15" t="s">
        <v>81</v>
      </c>
    </row>
    <row r="17" ht="12.75">
      <c r="A17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4"/>
  <sheetViews>
    <sheetView zoomScale="85" zoomScaleNormal="85" zoomScaleSheetLayoutView="100" zoomScalePageLayoutView="0" workbookViewId="0" topLeftCell="A1">
      <selection activeCell="D30" sqref="D30"/>
    </sheetView>
  </sheetViews>
  <sheetFormatPr defaultColWidth="33.28125" defaultRowHeight="12.75"/>
  <cols>
    <col min="1" max="1" width="9.140625" style="0" customWidth="1"/>
    <col min="2" max="2" width="14.00390625" style="0" customWidth="1"/>
    <col min="3" max="3" width="21.8515625" style="0" customWidth="1"/>
    <col min="4" max="4" width="15.57421875" style="0" customWidth="1"/>
    <col min="5" max="16" width="14.00390625" style="0" customWidth="1"/>
    <col min="17" max="17" width="15.00390625" style="0" customWidth="1"/>
    <col min="18" max="110" width="31.7109375" style="0" customWidth="1"/>
    <col min="111" max="111" width="11.421875" style="0" customWidth="1"/>
  </cols>
  <sheetData>
    <row r="1" spans="3:12" ht="12.75">
      <c r="C1" s="248" t="str">
        <f>+Transactions!B1</f>
        <v>AEPTCo Formula Rate -- FERC Docket ER18-194</v>
      </c>
      <c r="D1" s="248"/>
      <c r="E1" s="248"/>
      <c r="F1" s="248"/>
      <c r="G1" s="248"/>
      <c r="H1" s="248"/>
      <c r="I1" s="248"/>
      <c r="L1" s="179">
        <v>2019</v>
      </c>
    </row>
    <row r="2" spans="3:9" ht="12.75">
      <c r="C2" s="248" t="s">
        <v>36</v>
      </c>
      <c r="D2" s="248"/>
      <c r="E2" s="248"/>
      <c r="F2" s="248"/>
      <c r="G2" s="248"/>
      <c r="H2" s="248"/>
      <c r="I2" s="248"/>
    </row>
    <row r="3" spans="3:9" ht="12.75">
      <c r="C3" s="248" t="str">
        <f>"for period 01/01/"&amp;F8&amp;" - 12/31/"&amp;F8</f>
        <v>for period 01/01/2018 - 12/31/2018</v>
      </c>
      <c r="D3" s="248"/>
      <c r="E3" s="248"/>
      <c r="F3" s="248"/>
      <c r="G3" s="248"/>
      <c r="H3" s="248"/>
      <c r="I3" s="248"/>
    </row>
    <row r="4" spans="3:9" ht="12.75">
      <c r="C4" s="248" t="s">
        <v>85</v>
      </c>
      <c r="D4" s="248"/>
      <c r="E4" s="248"/>
      <c r="F4" s="248"/>
      <c r="G4" s="248"/>
      <c r="H4" s="248"/>
      <c r="I4" s="248"/>
    </row>
    <row r="5" spans="3:4" ht="12.75">
      <c r="C5" s="178" t="str">
        <f>"Prepared:  May 22_, "&amp;L1&amp;""</f>
        <v>Prepared:  May 22_, 2019</v>
      </c>
      <c r="D5" s="176"/>
    </row>
    <row r="6" ht="12.75">
      <c r="C6" s="57"/>
    </row>
    <row r="7" ht="12.75">
      <c r="C7" s="5"/>
    </row>
    <row r="8" ht="27.75" customHeight="1" thickBot="1">
      <c r="F8" s="113">
        <f>Transactions!R1</f>
        <v>2018</v>
      </c>
    </row>
    <row r="9" spans="5:12" ht="20.25" customHeight="1">
      <c r="E9" s="124" t="s">
        <v>98</v>
      </c>
      <c r="F9" s="103"/>
      <c r="G9" s="112"/>
      <c r="H9" s="230"/>
      <c r="L9" s="23"/>
    </row>
    <row r="10" spans="2:8" ht="42" customHeight="1" thickBot="1">
      <c r="B10" s="89"/>
      <c r="E10" s="143" t="str">
        <f>"(per "&amp;$F8&amp;" Projections "&amp;$F8&amp;")"</f>
        <v>(per 2018 Projections 2018)</v>
      </c>
      <c r="F10" s="175" t="str">
        <f>"(per "&amp;F8+1&amp;" Update of May "&amp;F8+1&amp;")"</f>
        <v>(per 2019 Update of May 2019)</v>
      </c>
      <c r="G10" s="144"/>
      <c r="H10" s="231"/>
    </row>
    <row r="11" spans="2:8" ht="21.75" customHeight="1">
      <c r="B11" s="91"/>
      <c r="C11" s="109" t="s">
        <v>39</v>
      </c>
      <c r="D11" s="108" t="s">
        <v>37</v>
      </c>
      <c r="E11" s="160">
        <f>Transactions!K2</f>
        <v>79314855.44301167</v>
      </c>
      <c r="F11" s="97"/>
      <c r="G11" s="161"/>
      <c r="H11" s="232"/>
    </row>
    <row r="12" spans="2:11" ht="21.75" customHeight="1">
      <c r="B12" s="91"/>
      <c r="C12" s="98"/>
      <c r="D12" s="115" t="s">
        <v>43</v>
      </c>
      <c r="E12" s="104"/>
      <c r="F12" s="96">
        <f>+Transactions!J2</f>
        <v>64066149.52887619</v>
      </c>
      <c r="G12" s="105"/>
      <c r="H12" s="163"/>
      <c r="K12" s="186"/>
    </row>
    <row r="13" spans="2:11" ht="21.75" customHeight="1">
      <c r="B13" s="90"/>
      <c r="C13" s="110" t="s">
        <v>40</v>
      </c>
      <c r="D13" s="107" t="s">
        <v>38</v>
      </c>
      <c r="E13" s="162">
        <f>Transactions!K3</f>
        <v>809.3</v>
      </c>
      <c r="F13" s="163"/>
      <c r="G13" s="164"/>
      <c r="H13" s="233"/>
      <c r="K13" s="185"/>
    </row>
    <row r="14" spans="2:11" ht="21.75" customHeight="1" thickBot="1">
      <c r="B14" s="89"/>
      <c r="C14" s="99"/>
      <c r="D14" s="114" t="s">
        <v>42</v>
      </c>
      <c r="E14" s="100"/>
      <c r="F14" s="141">
        <f>+Transactions!J3</f>
        <v>624.94</v>
      </c>
      <c r="G14" s="101"/>
      <c r="H14" s="163"/>
      <c r="K14" s="186"/>
    </row>
    <row r="15" spans="2:11" ht="12.75">
      <c r="B15" s="91"/>
      <c r="E15" s="69"/>
      <c r="K15" s="185"/>
    </row>
    <row r="16" spans="2:19" ht="12.75">
      <c r="B16" s="90"/>
      <c r="C16" s="90"/>
      <c r="D16" s="106"/>
      <c r="E16" s="90"/>
      <c r="F16" s="92"/>
      <c r="G16" s="93"/>
      <c r="H16" s="93"/>
      <c r="K16" s="151"/>
      <c r="L16" s="69"/>
      <c r="N16" s="8"/>
      <c r="O16" s="81"/>
      <c r="P16" s="81"/>
      <c r="Q16" s="81"/>
      <c r="R16" s="81"/>
      <c r="S16" s="81"/>
    </row>
    <row r="17" spans="3:19" ht="12.75">
      <c r="C17" s="5"/>
      <c r="K17" s="185"/>
      <c r="N17" s="20"/>
      <c r="O17" s="81"/>
      <c r="P17" s="81"/>
      <c r="Q17" s="81"/>
      <c r="R17" s="81"/>
      <c r="S17" s="81"/>
    </row>
    <row r="18" spans="3:19" ht="12.75">
      <c r="C18" s="8"/>
      <c r="D18" s="8"/>
      <c r="E18" s="8"/>
      <c r="F18" s="8"/>
      <c r="G18" s="8"/>
      <c r="H18" s="8"/>
      <c r="I18" s="8"/>
      <c r="N18" s="8"/>
      <c r="O18" s="81"/>
      <c r="P18" s="81"/>
      <c r="Q18" s="81"/>
      <c r="R18" s="81"/>
      <c r="S18" s="81"/>
    </row>
    <row r="19" spans="3:19" ht="21" customHeight="1" thickBot="1">
      <c r="C19" s="94" t="s">
        <v>31</v>
      </c>
      <c r="D19" s="94" t="s">
        <v>32</v>
      </c>
      <c r="E19" s="95" t="s">
        <v>33</v>
      </c>
      <c r="F19" s="95" t="s">
        <v>34</v>
      </c>
      <c r="G19" s="94" t="s">
        <v>35</v>
      </c>
      <c r="H19" s="94" t="s">
        <v>97</v>
      </c>
      <c r="I19" s="95" t="s">
        <v>96</v>
      </c>
      <c r="J19" s="234" t="s">
        <v>99</v>
      </c>
      <c r="K19" s="235" t="s">
        <v>100</v>
      </c>
      <c r="N19" s="8"/>
      <c r="O19" s="81"/>
      <c r="P19" s="81"/>
      <c r="Q19" s="81"/>
      <c r="R19" s="81"/>
      <c r="S19" s="81"/>
    </row>
    <row r="20" spans="3:19" ht="53.25" customHeight="1">
      <c r="C20" s="131" t="s">
        <v>52</v>
      </c>
      <c r="D20" s="86" t="str">
        <f>"Actual Charge
("&amp;F8&amp;" True-Up)"</f>
        <v>Actual Charge
(2018 True-Up)</v>
      </c>
      <c r="E20" s="87" t="str">
        <f>"Invoiced for
CY"&amp;F8&amp;" Transmission Service"</f>
        <v>Invoiced for
CY2018 Transmission Service</v>
      </c>
      <c r="F20" s="86" t="s">
        <v>41</v>
      </c>
      <c r="G20" s="88" t="s">
        <v>7</v>
      </c>
      <c r="H20" s="88" t="s">
        <v>90</v>
      </c>
      <c r="I20" s="111" t="s">
        <v>46</v>
      </c>
      <c r="J20" s="236" t="s">
        <v>101</v>
      </c>
      <c r="K20" s="237" t="s">
        <v>102</v>
      </c>
      <c r="N20" s="8"/>
      <c r="O20" s="81"/>
      <c r="P20" s="81"/>
      <c r="Q20" s="81"/>
      <c r="R20" s="81"/>
      <c r="S20" s="81"/>
    </row>
    <row r="21" spans="2:19" ht="12.75">
      <c r="B21" s="123"/>
      <c r="C21" s="82" t="s">
        <v>14</v>
      </c>
      <c r="D21" s="83">
        <f>GETPIVOTDATA("Sum of "&amp;T(Transactions!$J$19),Pivot!$A$3,"Customer",C21)</f>
        <v>5628209.640000001</v>
      </c>
      <c r="E21" s="83">
        <f>GETPIVOTDATA("Sum of "&amp;T(Transactions!$K$19),Pivot!$A$3,"Customer",C21)</f>
        <v>7288555.8</v>
      </c>
      <c r="F21" s="83">
        <f>D21-E21</f>
        <v>-1660346.1599999992</v>
      </c>
      <c r="G21" s="81">
        <f>+GETPIVOTDATA("Sum of "&amp;T(Transactions!$M$19),Pivot!$A$3,"Customer","AECC")</f>
        <v>-81910.68732379348</v>
      </c>
      <c r="H21" s="81">
        <f>GETPIVOTDATA("Sum of "&amp;T(Transactions!$Q$19),Pivot!$A$3,"Customer","AECC")</f>
        <v>-706880.9400000002</v>
      </c>
      <c r="I21" s="84">
        <f>F21+G21-H21</f>
        <v>-1035375.9073237926</v>
      </c>
      <c r="J21" s="238">
        <v>-115280.05255869424</v>
      </c>
      <c r="K21" s="239">
        <f>I21+J21</f>
        <v>-1150655.9598824868</v>
      </c>
      <c r="L21" s="123"/>
      <c r="N21" s="8"/>
      <c r="O21" s="81"/>
      <c r="P21" s="81"/>
      <c r="Q21" s="81"/>
      <c r="R21" s="81"/>
      <c r="S21" s="81"/>
    </row>
    <row r="22" spans="2:19" ht="12.75">
      <c r="B22" s="123"/>
      <c r="C22" s="102" t="s">
        <v>87</v>
      </c>
      <c r="D22" s="83">
        <f>GETPIVOTDATA("Sum of "&amp;T(Transactions!$J$19),Pivot!$A$3,"Customer",C22)</f>
        <v>303095.9000000001</v>
      </c>
      <c r="E22" s="83">
        <f>GETPIVOTDATA("Sum of "&amp;T(Transactions!$K$19),Pivot!$A$3,"Customer",C22)</f>
        <v>392510.5</v>
      </c>
      <c r="F22" s="83">
        <f>D22-E22</f>
        <v>-89414.59999999992</v>
      </c>
      <c r="G22" s="81">
        <f>+GETPIVOTDATA("Sum of "&amp;T(Transactions!$M$19),Pivot!$A$3,"Customer","AECI")</f>
        <v>-4411.13517122361</v>
      </c>
      <c r="H22" s="81">
        <f>GETPIVOTDATA("Sum of "&amp;T(Transactions!$Q$19),Pivot!$A$3,"Customer",C22)</f>
        <v>-38067.65000000001</v>
      </c>
      <c r="I22" s="84">
        <f aca="true" t="shared" si="0" ref="I22:I33">F22+G22-H22</f>
        <v>-55758.085171223516</v>
      </c>
      <c r="J22" s="238">
        <v>-6356.521212373846</v>
      </c>
      <c r="K22" s="239">
        <f aca="true" t="shared" si="1" ref="K22:K39">I22+J22</f>
        <v>-62114.60638359736</v>
      </c>
      <c r="L22" s="123"/>
      <c r="N22" s="8"/>
      <c r="O22" s="81"/>
      <c r="P22" s="81"/>
      <c r="Q22" s="81"/>
      <c r="R22" s="81"/>
      <c r="S22" s="81"/>
    </row>
    <row r="23" spans="2:19" ht="12.75">
      <c r="B23" s="123"/>
      <c r="C23" s="102" t="s">
        <v>56</v>
      </c>
      <c r="D23" s="83">
        <f>GETPIVOTDATA("Sum of "&amp;T(Transactions!$J$19),Pivot!$A$3,"Customer",C23)</f>
        <v>929910.72</v>
      </c>
      <c r="E23" s="83">
        <f>GETPIVOTDATA("Sum of "&amp;T(Transactions!$K$19),Pivot!$A$3,"Customer",C23)</f>
        <v>1204238.4</v>
      </c>
      <c r="F23" s="83">
        <f aca="true" t="shared" si="2" ref="F23:F35">D23-E23</f>
        <v>-274327.67999999993</v>
      </c>
      <c r="G23" s="81">
        <f>+GETPIVOTDATA("Sum of "&amp;T(Transactions!$M$19),Pivot!$A$3,"Customer","Bentonville, AR")</f>
        <v>-13533.544607795326</v>
      </c>
      <c r="H23" s="81">
        <f>GETPIVOTDATA("Sum of "&amp;T(Transactions!$Q$19),Pivot!$A$3,"Customer",C23)</f>
        <v>-116793.12000000005</v>
      </c>
      <c r="I23" s="84">
        <f t="shared" si="0"/>
        <v>-171068.1046077952</v>
      </c>
      <c r="J23" s="238">
        <v>-19954.93623455932</v>
      </c>
      <c r="K23" s="239">
        <f t="shared" si="1"/>
        <v>-191023.0408423545</v>
      </c>
      <c r="L23" s="123"/>
      <c r="N23" s="8"/>
      <c r="O23" s="81"/>
      <c r="P23" s="81"/>
      <c r="Q23" s="81"/>
      <c r="R23" s="81"/>
      <c r="S23" s="81"/>
    </row>
    <row r="24" spans="2:19" ht="12.75">
      <c r="B24" s="123"/>
      <c r="C24" s="82" t="s">
        <v>17</v>
      </c>
      <c r="D24" s="83">
        <f>GETPIVOTDATA("Sum of "&amp;T(Transactions!$J$19),Pivot!$A$3,"Customer",C24)</f>
        <v>746803.2999999999</v>
      </c>
      <c r="E24" s="83">
        <f>GETPIVOTDATA("Sum of "&amp;T(Transactions!$K$19),Pivot!$A$3,"Customer",C24)</f>
        <v>967113.4999999999</v>
      </c>
      <c r="F24" s="83">
        <f t="shared" si="2"/>
        <v>-220310.19999999995</v>
      </c>
      <c r="G24" s="81">
        <f>+GETPIVOTDATA("Sum of "&amp;T(Transactions!$M$19),Pivot!$A$3,"Customer","Coffeyville, KS")</f>
        <v>-10868.673256932405</v>
      </c>
      <c r="H24" s="81">
        <f>GETPIVOTDATA("Sum of "&amp;T(Transactions!$Q$19),Pivot!$A$3,"Customer",C24)</f>
        <v>-93795.55</v>
      </c>
      <c r="I24" s="84">
        <f t="shared" si="0"/>
        <v>-137383.32325693237</v>
      </c>
      <c r="J24" s="238">
        <v>-15301.054632642757</v>
      </c>
      <c r="K24" s="239">
        <f t="shared" si="1"/>
        <v>-152684.37788957515</v>
      </c>
      <c r="L24" s="123"/>
      <c r="N24" s="8"/>
      <c r="O24" s="81"/>
      <c r="P24" s="81"/>
      <c r="Q24" s="81"/>
      <c r="R24" s="81"/>
      <c r="S24" s="81"/>
    </row>
    <row r="25" spans="2:19" ht="12.75">
      <c r="B25" s="123"/>
      <c r="C25" s="102" t="s">
        <v>13</v>
      </c>
      <c r="D25" s="83">
        <f>GETPIVOTDATA("Sum of "&amp;T(Transactions!$J$19),Pivot!$A$3,"Customer",C25)</f>
        <v>6261273.860000001</v>
      </c>
      <c r="E25" s="83">
        <f>GETPIVOTDATA("Sum of "&amp;T(Transactions!$K$19),Pivot!$A$3,"Customer",C25)</f>
        <v>8108376.699999998</v>
      </c>
      <c r="F25" s="83">
        <f t="shared" si="2"/>
        <v>-1847102.839999997</v>
      </c>
      <c r="G25" s="81">
        <f>+GETPIVOTDATA("Sum of "&amp;T(Transactions!$M$19),Pivot!$A$3,"Customer","ETEC")</f>
        <v>-91124.04800100901</v>
      </c>
      <c r="H25" s="81">
        <f>GETPIVOTDATA("Sum of "&amp;T(Transactions!$Q$19),Pivot!$A$3,"Customer",C25)</f>
        <v>-786391.3100000003</v>
      </c>
      <c r="I25" s="84">
        <f t="shared" si="0"/>
        <v>-1151835.5780010058</v>
      </c>
      <c r="J25" s="238">
        <v>-121477.66074075876</v>
      </c>
      <c r="K25" s="239">
        <f t="shared" si="1"/>
        <v>-1273313.2387417646</v>
      </c>
      <c r="L25" s="123"/>
      <c r="N25" s="20"/>
      <c r="O25" s="81"/>
      <c r="P25" s="81"/>
      <c r="Q25" s="81"/>
      <c r="R25" s="81"/>
      <c r="S25" s="81"/>
    </row>
    <row r="26" spans="2:19" ht="12.75">
      <c r="B26" s="123"/>
      <c r="C26" s="82" t="s">
        <v>15</v>
      </c>
      <c r="D26" s="83">
        <f>GETPIVOTDATA("Sum of "&amp;T(Transactions!$J$19),Pivot!$A$3,"Customer",C26)</f>
        <v>72493.04</v>
      </c>
      <c r="E26" s="83">
        <f>GETPIVOTDATA("Sum of "&amp;T(Transactions!$K$19),Pivot!$A$3,"Customer",C26)</f>
        <v>93878.80000000002</v>
      </c>
      <c r="F26" s="83">
        <f t="shared" si="2"/>
        <v>-21385.760000000024</v>
      </c>
      <c r="G26" s="81">
        <f>+GETPIVOTDATA("Sum of "&amp;T(Transactions!$M$19),Pivot!$A$3,"Customer","Greenbelt")</f>
        <v>-1055.0343914679152</v>
      </c>
      <c r="H26" s="81">
        <f>GETPIVOTDATA("Sum of "&amp;T(Transactions!$Q$19),Pivot!$A$3,"Customer",C26)</f>
        <v>-9104.839999999997</v>
      </c>
      <c r="I26" s="84">
        <f t="shared" si="0"/>
        <v>-13335.954391467942</v>
      </c>
      <c r="J26" s="238">
        <v>-1339.4098268930607</v>
      </c>
      <c r="K26" s="239">
        <f t="shared" si="1"/>
        <v>-14675.364218361003</v>
      </c>
      <c r="L26" s="123"/>
      <c r="M26" s="122"/>
      <c r="N26" s="122"/>
      <c r="O26" s="122"/>
      <c r="P26" s="122"/>
      <c r="Q26" s="81"/>
      <c r="R26" s="81"/>
      <c r="S26" s="81"/>
    </row>
    <row r="27" spans="2:19" ht="12.75">
      <c r="B27" s="123"/>
      <c r="C27" s="82" t="s">
        <v>59</v>
      </c>
      <c r="D27" s="83">
        <f>GETPIVOTDATA("Sum of "&amp;T(Transactions!$J$19),Pivot!$A$3,"Customer",C27)</f>
        <v>363090.14</v>
      </c>
      <c r="E27" s="83">
        <f>GETPIVOTDATA("Sum of "&amp;T(Transactions!$K$19),Pivot!$A$3,"Customer",C27)</f>
        <v>470203.29999999993</v>
      </c>
      <c r="F27" s="83">
        <f t="shared" si="2"/>
        <v>-107113.15999999992</v>
      </c>
      <c r="G27" s="81">
        <f>+GETPIVOTDATA("Sum of "&amp;T(Transactions!$M$19),Pivot!$A$3,"Customer","Hope, AR")</f>
        <v>-5284.267081403956</v>
      </c>
      <c r="H27" s="81">
        <f>GETPIVOTDATA("Sum of "&amp;T(Transactions!$Q$19),Pivot!$A$3,"Customer",C27)</f>
        <v>-45602.689999999995</v>
      </c>
      <c r="I27" s="84">
        <f t="shared" si="0"/>
        <v>-66794.73708140387</v>
      </c>
      <c r="J27" s="238">
        <v>-7105.682640975049</v>
      </c>
      <c r="K27" s="239">
        <f t="shared" si="1"/>
        <v>-73900.41972237892</v>
      </c>
      <c r="L27" s="123"/>
      <c r="M27" s="122"/>
      <c r="N27" s="122"/>
      <c r="O27" s="122"/>
      <c r="P27" s="122"/>
      <c r="Q27" s="81"/>
      <c r="R27" s="81"/>
      <c r="S27" s="81"/>
    </row>
    <row r="28" spans="2:19" ht="12.75">
      <c r="B28" s="123"/>
      <c r="C28" s="82" t="s">
        <v>16</v>
      </c>
      <c r="D28" s="83">
        <f>GETPIVOTDATA("Sum of "&amp;T(Transactions!$J$19),Pivot!$A$3,"Customer",C28)</f>
        <v>19998.080000000005</v>
      </c>
      <c r="E28" s="83">
        <f>GETPIVOTDATA("Sum of "&amp;T(Transactions!$K$19),Pivot!$A$3,"Customer",C28)</f>
        <v>25897.59999999999</v>
      </c>
      <c r="F28" s="83">
        <f t="shared" si="2"/>
        <v>-5899.519999999986</v>
      </c>
      <c r="G28" s="81">
        <f>+GETPIVOTDATA("Sum of "&amp;T(Transactions!$M$19),Pivot!$A$3,"Customer","Lighthouse")</f>
        <v>-291.04397006011453</v>
      </c>
      <c r="H28" s="81">
        <f>GETPIVOTDATA("Sum of "&amp;T(Transactions!$Q$19),Pivot!$A$3,"Customer",C28)</f>
        <v>-2511.6799999999994</v>
      </c>
      <c r="I28" s="84">
        <f t="shared" si="0"/>
        <v>-3678.883970060101</v>
      </c>
      <c r="J28" s="238">
        <v>-295.1241991459286</v>
      </c>
      <c r="K28" s="239">
        <f t="shared" si="1"/>
        <v>-3974.00816920603</v>
      </c>
      <c r="L28" s="123"/>
      <c r="N28" s="8"/>
      <c r="O28" s="81"/>
      <c r="P28" s="81"/>
      <c r="Q28" s="81"/>
      <c r="R28" s="81"/>
      <c r="S28" s="81"/>
    </row>
    <row r="29" spans="2:19" ht="12.75">
      <c r="B29" s="123"/>
      <c r="C29" s="102" t="s">
        <v>58</v>
      </c>
      <c r="D29" s="83">
        <f>GETPIVOTDATA("Sum of "&amp;T(Transactions!$J$19),Pivot!$A$3,"Customer",C29)</f>
        <v>209979.84</v>
      </c>
      <c r="E29" s="83">
        <f>GETPIVOTDATA("Sum of "&amp;T(Transactions!$K$19),Pivot!$A$3,"Customer",C29)</f>
        <v>271924.8</v>
      </c>
      <c r="F29" s="83">
        <f t="shared" si="2"/>
        <v>-61944.95999999999</v>
      </c>
      <c r="G29" s="81">
        <f>+GETPIVOTDATA("Sum of "&amp;T(Transactions!$M$19),Pivot!$A$3,"Customer","Minden, LA")</f>
        <v>-3055.9616856312027</v>
      </c>
      <c r="H29" s="81">
        <f>GETPIVOTDATA("Sum of "&amp;T(Transactions!$Q$19),Pivot!$A$3,"Customer",C29)</f>
        <v>-26372.640000000014</v>
      </c>
      <c r="I29" s="84">
        <f t="shared" si="0"/>
        <v>-38628.281685631184</v>
      </c>
      <c r="J29" s="238">
        <v>-4563.074156025511</v>
      </c>
      <c r="K29" s="239">
        <f t="shared" si="1"/>
        <v>-43191.355841656696</v>
      </c>
      <c r="L29" s="123"/>
      <c r="N29" s="8"/>
      <c r="O29" s="81"/>
      <c r="P29" s="81"/>
      <c r="Q29" s="81"/>
      <c r="R29" s="81"/>
      <c r="S29" s="81"/>
    </row>
    <row r="30" spans="2:12" ht="12.75">
      <c r="B30" s="123"/>
      <c r="C30" s="102" t="s">
        <v>19</v>
      </c>
      <c r="D30" s="83">
        <f>GETPIVOTDATA("Sum of "&amp;T(Transactions!$J$19),Pivot!$A$3,"Customer",C30)</f>
        <v>136861.86</v>
      </c>
      <c r="E30" s="83">
        <f>GETPIVOTDATA("Sum of "&amp;T(Transactions!$K$19),Pivot!$A$3,"Customer",C30)</f>
        <v>177236.69999999998</v>
      </c>
      <c r="F30" s="83">
        <f t="shared" si="2"/>
        <v>-40374.84</v>
      </c>
      <c r="G30" s="81">
        <f>+GETPIVOTDATA("Sum of "&amp;T(Transactions!$M$19),Pivot!$A$3,"Customer","OG&amp;E")</f>
        <v>-1991.8321700989088</v>
      </c>
      <c r="H30" s="81">
        <f>GETPIVOTDATA("Sum of "&amp;T(Transactions!$Q$19),Pivot!$A$3,"Customer",C30)</f>
        <v>-17189.31</v>
      </c>
      <c r="I30" s="84">
        <f t="shared" si="0"/>
        <v>-25177.362170098906</v>
      </c>
      <c r="J30" s="238">
        <v>-2701.5215152588844</v>
      </c>
      <c r="K30" s="239">
        <f t="shared" si="1"/>
        <v>-27878.88368535779</v>
      </c>
      <c r="L30" s="123"/>
    </row>
    <row r="31" spans="2:12" ht="12.75">
      <c r="B31" s="123"/>
      <c r="C31" s="82" t="s">
        <v>8</v>
      </c>
      <c r="D31" s="83">
        <f>GETPIVOTDATA("Sum of "&amp;T(Transactions!$J$19),Pivot!$A$3,"Customer",C31)</f>
        <v>819921.28</v>
      </c>
      <c r="E31" s="83">
        <f>GETPIVOTDATA("Sum of "&amp;T(Transactions!$K$19),Pivot!$A$3,"Customer",C31)</f>
        <v>1061801.6</v>
      </c>
      <c r="F31" s="83">
        <f t="shared" si="2"/>
        <v>-241880.32000000007</v>
      </c>
      <c r="G31" s="81">
        <f>+GETPIVOTDATA("Sum of "&amp;T(Transactions!$M$19),Pivot!$A$3,"Customer","OMPA")</f>
        <v>-11932.802772464696</v>
      </c>
      <c r="H31" s="81">
        <f>GETPIVOTDATA("Sum of "&amp;T(Transactions!$Q$19),Pivot!$A$3,"Customer",C31)</f>
        <v>-102978.88000000003</v>
      </c>
      <c r="I31" s="84">
        <f t="shared" si="0"/>
        <v>-150834.24277246473</v>
      </c>
      <c r="J31" s="238">
        <v>-18138.787316738224</v>
      </c>
      <c r="K31" s="239">
        <f t="shared" si="1"/>
        <v>-168973.03008920295</v>
      </c>
      <c r="L31" s="123"/>
    </row>
    <row r="32" spans="2:12" ht="12.75">
      <c r="B32" s="123"/>
      <c r="C32" s="82" t="s">
        <v>57</v>
      </c>
      <c r="D32" s="83">
        <f>GETPIVOTDATA("Sum of "&amp;T(Transactions!$J$19),Pivot!$A$3,"Customer",C32)</f>
        <v>81867.14</v>
      </c>
      <c r="E32" s="83">
        <f>GETPIVOTDATA("Sum of "&amp;T(Transactions!$K$19),Pivot!$A$3,"Customer",C32)</f>
        <v>106018.29999999999</v>
      </c>
      <c r="F32" s="83">
        <f t="shared" si="2"/>
        <v>-24151.15999999999</v>
      </c>
      <c r="G32" s="81">
        <f>+GETPIVOTDATA("Sum of "&amp;T(Transactions!$M$19),Pivot!$A$3,"Customer","Prescott, AR")</f>
        <v>-1191.461252433594</v>
      </c>
      <c r="H32" s="81">
        <f>GETPIVOTDATA("Sum of "&amp;T(Transactions!$Q$19),Pivot!$A$3,"Customer",C32)</f>
        <v>-10282.190000000002</v>
      </c>
      <c r="I32" s="84">
        <f t="shared" si="0"/>
        <v>-15060.43125243358</v>
      </c>
      <c r="J32" s="238">
        <v>-2020.4656710759723</v>
      </c>
      <c r="K32" s="239">
        <f t="shared" si="1"/>
        <v>-17080.896923509554</v>
      </c>
      <c r="L32" s="123"/>
    </row>
    <row r="33" spans="2:12" ht="12.75">
      <c r="B33" s="123"/>
      <c r="C33" s="85" t="s">
        <v>9</v>
      </c>
      <c r="D33" s="83">
        <f>GETPIVOTDATA("Sum of "&amp;T(Transactions!$J$19),Pivot!$A$3,"Customer",C33)</f>
        <v>275598.54000000004</v>
      </c>
      <c r="E33" s="83">
        <f>GETPIVOTDATA("Sum of "&amp;T(Transactions!$K$19),Pivot!$A$3,"Customer",C33)</f>
        <v>356901.30000000005</v>
      </c>
      <c r="F33" s="83">
        <f t="shared" si="2"/>
        <v>-81302.76000000001</v>
      </c>
      <c r="G33" s="81">
        <f>+GETPIVOTDATA("Sum of "&amp;T(Transactions!$M$19),Pivot!$A$3,"Customer","WFEC")</f>
        <v>-4010.949712390953</v>
      </c>
      <c r="H33" s="81">
        <f>GETPIVOTDATA("Sum of "&amp;T(Transactions!$Q$19),Pivot!$A$3,"Customer",C33)</f>
        <v>-34614.090000000004</v>
      </c>
      <c r="I33" s="84">
        <f t="shared" si="0"/>
        <v>-50699.61971239096</v>
      </c>
      <c r="J33" s="238">
        <v>-5834.37839850028</v>
      </c>
      <c r="K33" s="239">
        <f t="shared" si="1"/>
        <v>-56533.99811089124</v>
      </c>
      <c r="L33" s="123"/>
    </row>
    <row r="34" spans="3:11" ht="24">
      <c r="C34" s="165" t="s">
        <v>44</v>
      </c>
      <c r="D34" s="166">
        <f aca="true" t="shared" si="3" ref="D34:J34">SUM(D21:D33)</f>
        <v>15849103.34</v>
      </c>
      <c r="E34" s="166">
        <f t="shared" si="3"/>
        <v>20524657.300000004</v>
      </c>
      <c r="F34" s="166">
        <f t="shared" si="3"/>
        <v>-4675553.959999995</v>
      </c>
      <c r="G34" s="167">
        <f t="shared" si="3"/>
        <v>-230661.4413967052</v>
      </c>
      <c r="H34" s="167">
        <f t="shared" si="3"/>
        <v>-1990584.8900000006</v>
      </c>
      <c r="I34" s="168">
        <f t="shared" si="3"/>
        <v>-2915630.5113967</v>
      </c>
      <c r="J34" s="240">
        <f t="shared" si="3"/>
        <v>-320368.6691036418</v>
      </c>
      <c r="K34" s="241">
        <f t="shared" si="1"/>
        <v>-3235999.180500342</v>
      </c>
    </row>
    <row r="35" spans="3:11" ht="12.75">
      <c r="C35" s="187" t="s">
        <v>21</v>
      </c>
      <c r="D35" s="83">
        <f>GETPIVOTDATA("Sum of "&amp;T(Transactions!$J$19),Pivot!$A$3,"Customer",C35)</f>
        <v>23915203.919999998</v>
      </c>
      <c r="E35" s="83">
        <f>GETPIVOTDATA("Sum of "&amp;T(Transactions!$K$19),Pivot!$A$3,"Customer",C35)</f>
        <v>30970292.399999995</v>
      </c>
      <c r="F35" s="83">
        <f t="shared" si="2"/>
        <v>-7055088.479999997</v>
      </c>
      <c r="G35" s="81">
        <f>+GETPIVOTDATA("Sum of "&amp;T(Transactions!$M$19),Pivot!$A$3,"Customer","PSO")</f>
        <v>-348052.20769563946</v>
      </c>
      <c r="H35" s="81">
        <f>GETPIVOTDATA("Sum of "&amp;T(Transactions!$Q$19),Pivot!$A$3,"Customer",C35)</f>
        <v>-3003655.3200000003</v>
      </c>
      <c r="I35" s="84">
        <f>F35+G35-H35</f>
        <v>-4399485.367695636</v>
      </c>
      <c r="J35" s="238">
        <v>-524526.5093282062</v>
      </c>
      <c r="K35" s="239">
        <f t="shared" si="1"/>
        <v>-4924011.877023842</v>
      </c>
    </row>
    <row r="36" spans="3:11" ht="12.75">
      <c r="C36" s="188" t="s">
        <v>22</v>
      </c>
      <c r="D36" s="83">
        <f>GETPIVOTDATA("Sum of "&amp;T(Transactions!$J$19),Pivot!$A$3,"Customer",C36)</f>
        <v>23319636.1</v>
      </c>
      <c r="E36" s="83">
        <f>GETPIVOTDATA("Sum of "&amp;T(Transactions!$K$19),Pivot!$A$3,"Customer",C36)</f>
        <v>30199029.5</v>
      </c>
      <c r="F36" s="83">
        <f>D36-E36</f>
        <v>-6879393.3999999985</v>
      </c>
      <c r="G36" s="81">
        <f>+GETPIVOTDATA("Sum of "&amp;T(Transactions!$M$19),Pivot!$A$3,"Customer","SWEPCO")</f>
        <v>-339384.5544622867</v>
      </c>
      <c r="H36" s="81">
        <f>GETPIVOTDATA("Sum of "&amp;T(Transactions!$Q$19),Pivot!$A$3,"Customer",C36)</f>
        <v>-2928854.3500000015</v>
      </c>
      <c r="I36" s="84">
        <f>F36+G36-H36</f>
        <v>-4289923.604462284</v>
      </c>
      <c r="J36" s="238">
        <v>-493220.642357265</v>
      </c>
      <c r="K36" s="239">
        <f t="shared" si="1"/>
        <v>-4783144.246819548</v>
      </c>
    </row>
    <row r="37" spans="3:11" ht="12.75">
      <c r="C37" s="189" t="s">
        <v>83</v>
      </c>
      <c r="D37" s="83">
        <f>GETPIVOTDATA("Sum of "&amp;T(Transactions!$J$19),Pivot!$A$3,"Customer",C37)</f>
        <v>983030.6200000002</v>
      </c>
      <c r="E37" s="83">
        <f>GETPIVOTDATA("Sum of "&amp;T(Transactions!$K$19),Pivot!$A$3,"Customer",C37)</f>
        <v>1273028.9</v>
      </c>
      <c r="F37" s="83">
        <f>D37-E37</f>
        <v>-289998.2799999997</v>
      </c>
      <c r="G37" s="81">
        <f>+GETPIVOTDATA("Sum of "&amp;T(Transactions!$M$19),Pivot!$A$3,"Customer","SWEPCO-Valley")</f>
        <v>-14306.630153267506</v>
      </c>
      <c r="H37" s="81">
        <f>GETPIVOTDATA("Sum of "&amp;T(Transactions!$Q$19),Pivot!$A$3,"Customer",C37)</f>
        <v>-123464.77000000002</v>
      </c>
      <c r="I37" s="84">
        <f>F37+G37-H37</f>
        <v>-180840.1401532672</v>
      </c>
      <c r="J37" s="238">
        <v>-19546.302728049577</v>
      </c>
      <c r="K37" s="239">
        <f t="shared" si="1"/>
        <v>-200386.44288131676</v>
      </c>
    </row>
    <row r="38" spans="3:11" ht="24">
      <c r="C38" s="132" t="s">
        <v>53</v>
      </c>
      <c r="D38" s="133">
        <f aca="true" t="shared" si="4" ref="D38:I38">SUM(D35:D37)</f>
        <v>48217870.63999999</v>
      </c>
      <c r="E38" s="133">
        <f t="shared" si="4"/>
        <v>62442350.79999999</v>
      </c>
      <c r="F38" s="133">
        <f t="shared" si="4"/>
        <v>-14224480.159999995</v>
      </c>
      <c r="G38" s="134">
        <f t="shared" si="4"/>
        <v>-701743.3923111936</v>
      </c>
      <c r="H38" s="134">
        <f t="shared" si="4"/>
        <v>-6055974.440000001</v>
      </c>
      <c r="I38" s="135">
        <f t="shared" si="4"/>
        <v>-8870249.112311186</v>
      </c>
      <c r="J38" s="242">
        <f>SUM(J35:J37)</f>
        <v>-1037293.4544135208</v>
      </c>
      <c r="K38" s="243">
        <f t="shared" si="1"/>
        <v>-9907542.566724706</v>
      </c>
    </row>
    <row r="39" spans="3:13" ht="23.25" customHeight="1" thickBot="1">
      <c r="C39" s="121" t="s">
        <v>45</v>
      </c>
      <c r="D39" s="118">
        <f aca="true" t="shared" si="5" ref="D39:I39">SUM(D34,D38)</f>
        <v>64066973.97999999</v>
      </c>
      <c r="E39" s="119">
        <f t="shared" si="5"/>
        <v>82967008.1</v>
      </c>
      <c r="F39" s="118">
        <f t="shared" si="5"/>
        <v>-18900034.11999999</v>
      </c>
      <c r="G39" s="119">
        <f t="shared" si="5"/>
        <v>-932404.8337078989</v>
      </c>
      <c r="H39" s="119">
        <f t="shared" si="5"/>
        <v>-8046559.330000002</v>
      </c>
      <c r="I39" s="120">
        <f t="shared" si="5"/>
        <v>-11785879.623707887</v>
      </c>
      <c r="J39" s="244">
        <f>SUM(J34,J38)</f>
        <v>-1357662.1235171626</v>
      </c>
      <c r="K39" s="245">
        <f t="shared" si="1"/>
        <v>-13143541.74722505</v>
      </c>
      <c r="M39" s="183"/>
    </row>
    <row r="40" spans="5:8" ht="12.75">
      <c r="E40" s="8"/>
      <c r="F40" s="8"/>
      <c r="G40" s="8"/>
      <c r="H40" s="8"/>
    </row>
    <row r="41" spans="3:11" ht="12.75">
      <c r="C41" s="15"/>
      <c r="J41" s="192"/>
      <c r="K41" s="192">
        <v>-2695956.616998581</v>
      </c>
    </row>
    <row r="42" spans="3:11" ht="12.75">
      <c r="C42" s="15"/>
      <c r="K42" s="192"/>
    </row>
    <row r="43" spans="3:9" ht="12.75">
      <c r="C43" s="15"/>
      <c r="D43" s="183"/>
      <c r="E43" s="183"/>
      <c r="F43" s="183"/>
      <c r="G43" s="183"/>
      <c r="H43" s="183"/>
      <c r="I43" s="183"/>
    </row>
    <row r="44" spans="4:9" ht="12.75">
      <c r="D44" s="183"/>
      <c r="E44" s="183"/>
      <c r="F44" s="183"/>
      <c r="G44" s="183"/>
      <c r="H44" s="183"/>
      <c r="I44" s="183"/>
    </row>
  </sheetData>
  <sheetProtection/>
  <mergeCells count="4">
    <mergeCell ref="C1:I1"/>
    <mergeCell ref="C2:I2"/>
    <mergeCell ref="C3:I3"/>
    <mergeCell ref="C4:I4"/>
  </mergeCells>
  <printOptions horizontalCentered="1"/>
  <pageMargins left="0.5" right="0.75" top="0.9" bottom="0.53" header="0.5" footer="0.5"/>
  <pageSetup fitToHeight="1" fitToWidth="1" horizontalDpi="1200" verticalDpi="12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23"/>
  <sheetViews>
    <sheetView zoomScale="85" zoomScaleNormal="85" zoomScalePageLayoutView="0" workbookViewId="0" topLeftCell="A1">
      <pane xSplit="2" ySplit="4" topLeftCell="C5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D30" sqref="D30"/>
    </sheetView>
  </sheetViews>
  <sheetFormatPr defaultColWidth="9.140625" defaultRowHeight="12.75"/>
  <cols>
    <col min="1" max="1" width="19.140625" style="0" customWidth="1"/>
    <col min="2" max="2" width="28.57421875" style="0" bestFit="1" customWidth="1"/>
    <col min="3" max="14" width="15.421875" style="0" bestFit="1" customWidth="1"/>
    <col min="15" max="15" width="11.57421875" style="0" bestFit="1" customWidth="1"/>
  </cols>
  <sheetData>
    <row r="3" spans="1:15" ht="12.75">
      <c r="A3" s="199"/>
      <c r="B3" s="200"/>
      <c r="C3" s="201" t="s">
        <v>55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2"/>
    </row>
    <row r="4" spans="1:15" ht="12.75">
      <c r="A4" s="201" t="s">
        <v>0</v>
      </c>
      <c r="B4" s="201" t="s">
        <v>24</v>
      </c>
      <c r="C4" s="203">
        <v>43101</v>
      </c>
      <c r="D4" s="204">
        <v>43132</v>
      </c>
      <c r="E4" s="204">
        <v>43160</v>
      </c>
      <c r="F4" s="204">
        <v>43191</v>
      </c>
      <c r="G4" s="204">
        <v>43221</v>
      </c>
      <c r="H4" s="204">
        <v>43252</v>
      </c>
      <c r="I4" s="204">
        <v>43282</v>
      </c>
      <c r="J4" s="204">
        <v>43313</v>
      </c>
      <c r="K4" s="204">
        <v>43344</v>
      </c>
      <c r="L4" s="204">
        <v>43374</v>
      </c>
      <c r="M4" s="204">
        <v>43405</v>
      </c>
      <c r="N4" s="204">
        <v>43435</v>
      </c>
      <c r="O4" s="205" t="s">
        <v>18</v>
      </c>
    </row>
    <row r="5" spans="1:15" ht="12.75">
      <c r="A5" s="199" t="s">
        <v>14</v>
      </c>
      <c r="B5" s="199" t="s">
        <v>72</v>
      </c>
      <c r="C5" s="208">
        <v>594317.9400000001</v>
      </c>
      <c r="D5" s="209">
        <v>452456.56000000006</v>
      </c>
      <c r="E5" s="209">
        <v>376838.82</v>
      </c>
      <c r="F5" s="209">
        <v>278098.30000000005</v>
      </c>
      <c r="G5" s="209">
        <v>489952.96</v>
      </c>
      <c r="H5" s="209">
        <v>543697.8</v>
      </c>
      <c r="I5" s="209">
        <v>583069.02</v>
      </c>
      <c r="J5" s="209">
        <v>509326.10000000003</v>
      </c>
      <c r="K5" s="209">
        <v>500576.94000000006</v>
      </c>
      <c r="L5" s="209">
        <v>426834.02</v>
      </c>
      <c r="M5" s="209">
        <v>437458.00000000006</v>
      </c>
      <c r="N5" s="209">
        <v>435583.18000000005</v>
      </c>
      <c r="O5" s="210">
        <v>5628209.640000001</v>
      </c>
    </row>
    <row r="6" spans="1:15" ht="12.75">
      <c r="A6" s="246"/>
      <c r="B6" s="206" t="s">
        <v>25</v>
      </c>
      <c r="C6" s="211">
        <v>-175326.35999999987</v>
      </c>
      <c r="D6" s="212">
        <v>-133476.6399999999</v>
      </c>
      <c r="E6" s="212">
        <v>-111169.07999999996</v>
      </c>
      <c r="F6" s="212">
        <v>-82040.19999999995</v>
      </c>
      <c r="G6" s="212">
        <v>-144538.23999999993</v>
      </c>
      <c r="H6" s="212">
        <v>-160393.19999999995</v>
      </c>
      <c r="I6" s="212">
        <v>-172007.8799999999</v>
      </c>
      <c r="J6" s="212">
        <v>-150253.39999999997</v>
      </c>
      <c r="K6" s="212">
        <v>-147672.35999999987</v>
      </c>
      <c r="L6" s="212">
        <v>-125917.88</v>
      </c>
      <c r="M6" s="212">
        <v>-129051.99999999994</v>
      </c>
      <c r="N6" s="212">
        <v>-128498.91999999993</v>
      </c>
      <c r="O6" s="213">
        <v>-1660346.1599999992</v>
      </c>
    </row>
    <row r="7" spans="1:15" ht="12.75">
      <c r="A7" s="246"/>
      <c r="B7" s="206" t="s">
        <v>26</v>
      </c>
      <c r="C7" s="211">
        <v>-8649.462985224029</v>
      </c>
      <c r="D7" s="212">
        <v>-6584.869822610092</v>
      </c>
      <c r="E7" s="212">
        <v>-5484.359810820283</v>
      </c>
      <c r="F7" s="212">
        <v>-4047.3302086484678</v>
      </c>
      <c r="G7" s="212">
        <v>-7130.5772664728065</v>
      </c>
      <c r="H7" s="212">
        <v>-7912.757936009364</v>
      </c>
      <c r="I7" s="212">
        <v>-8485.750752065214</v>
      </c>
      <c r="J7" s="212">
        <v>-7412.526112468543</v>
      </c>
      <c r="K7" s="212">
        <v>-7285.194375567243</v>
      </c>
      <c r="L7" s="212">
        <v>-6211.969735970571</v>
      </c>
      <c r="M7" s="212">
        <v>-6366.586845065006</v>
      </c>
      <c r="N7" s="212">
        <v>-6339.30147287187</v>
      </c>
      <c r="O7" s="213">
        <v>-81910.68732379348</v>
      </c>
    </row>
    <row r="8" spans="1:15" ht="12.75">
      <c r="A8" s="246"/>
      <c r="B8" s="206" t="s">
        <v>27</v>
      </c>
      <c r="C8" s="211">
        <v>-109331.83298522391</v>
      </c>
      <c r="D8" s="212">
        <v>-83234.74982260997</v>
      </c>
      <c r="E8" s="212">
        <v>-69323.96981082027</v>
      </c>
      <c r="F8" s="212">
        <v>-51159.48020864837</v>
      </c>
      <c r="G8" s="212">
        <v>-90132.6572664727</v>
      </c>
      <c r="H8" s="212">
        <v>-100019.65793600926</v>
      </c>
      <c r="I8" s="212">
        <v>-107262.46075206518</v>
      </c>
      <c r="J8" s="212">
        <v>-93696.5761124684</v>
      </c>
      <c r="K8" s="212">
        <v>-92087.06437556713</v>
      </c>
      <c r="L8" s="212">
        <v>-78521.17973597054</v>
      </c>
      <c r="M8" s="212">
        <v>-80475.58684506488</v>
      </c>
      <c r="N8" s="212">
        <v>-80130.69147287175</v>
      </c>
      <c r="O8" s="213">
        <v>-1035375.9073237923</v>
      </c>
    </row>
    <row r="9" spans="1:15" ht="12.75">
      <c r="A9" s="246"/>
      <c r="B9" s="206" t="s">
        <v>51</v>
      </c>
      <c r="C9" s="214">
        <v>769644.2999999999</v>
      </c>
      <c r="D9" s="192">
        <v>585933.2</v>
      </c>
      <c r="E9" s="192">
        <v>488007.89999999997</v>
      </c>
      <c r="F9" s="192">
        <v>360138.5</v>
      </c>
      <c r="G9" s="192">
        <v>634491.2</v>
      </c>
      <c r="H9" s="192">
        <v>704091</v>
      </c>
      <c r="I9" s="192">
        <v>755076.8999999999</v>
      </c>
      <c r="J9" s="192">
        <v>659579.5</v>
      </c>
      <c r="K9" s="192">
        <v>648249.2999999999</v>
      </c>
      <c r="L9" s="192">
        <v>552751.9</v>
      </c>
      <c r="M9" s="192">
        <v>566510</v>
      </c>
      <c r="N9" s="192">
        <v>564082.1</v>
      </c>
      <c r="O9" s="215">
        <v>7288555.8</v>
      </c>
    </row>
    <row r="10" spans="1:15" ht="12.75">
      <c r="A10" s="246"/>
      <c r="B10" s="206" t="s">
        <v>92</v>
      </c>
      <c r="C10" s="214">
        <v>695000.3099999999</v>
      </c>
      <c r="D10" s="192">
        <v>529106.44</v>
      </c>
      <c r="E10" s="192">
        <v>440678.43</v>
      </c>
      <c r="F10" s="192">
        <v>325210.44999999995</v>
      </c>
      <c r="G10" s="192">
        <v>572955.0399999999</v>
      </c>
      <c r="H10" s="192">
        <v>635804.7</v>
      </c>
      <c r="I10" s="192">
        <v>681845.73</v>
      </c>
      <c r="J10" s="192">
        <v>595610.1499999999</v>
      </c>
      <c r="K10" s="192">
        <v>585378.8099999999</v>
      </c>
      <c r="L10" s="192">
        <v>499143.23</v>
      </c>
      <c r="M10" s="192">
        <v>511566.99999999994</v>
      </c>
      <c r="N10" s="192">
        <v>509374.56999999995</v>
      </c>
      <c r="O10" s="215">
        <v>6581674.859999999</v>
      </c>
    </row>
    <row r="11" spans="1:15" ht="12.75">
      <c r="A11" s="246"/>
      <c r="B11" s="206" t="s">
        <v>94</v>
      </c>
      <c r="C11" s="214">
        <v>-74643.98999999999</v>
      </c>
      <c r="D11" s="192">
        <v>-56826.76000000001</v>
      </c>
      <c r="E11" s="192">
        <v>-47329.46999999997</v>
      </c>
      <c r="F11" s="192">
        <v>-34928.05000000005</v>
      </c>
      <c r="G11" s="192">
        <v>-61536.16000000003</v>
      </c>
      <c r="H11" s="192">
        <v>-68286.30000000005</v>
      </c>
      <c r="I11" s="192">
        <v>-73231.16999999993</v>
      </c>
      <c r="J11" s="192">
        <v>-63969.35000000009</v>
      </c>
      <c r="K11" s="192">
        <v>-62870.48999999999</v>
      </c>
      <c r="L11" s="192">
        <v>-53608.67000000004</v>
      </c>
      <c r="M11" s="192">
        <v>-54943.00000000006</v>
      </c>
      <c r="N11" s="192">
        <v>-54707.53000000003</v>
      </c>
      <c r="O11" s="215">
        <v>-706880.9400000002</v>
      </c>
    </row>
    <row r="12" spans="1:15" ht="12.75">
      <c r="A12" s="199" t="s">
        <v>17</v>
      </c>
      <c r="B12" s="199" t="s">
        <v>72</v>
      </c>
      <c r="C12" s="208">
        <v>64993.76000000001</v>
      </c>
      <c r="D12" s="209">
        <v>61244.12</v>
      </c>
      <c r="E12" s="209">
        <v>56244.600000000006</v>
      </c>
      <c r="F12" s="209">
        <v>38121.340000000004</v>
      </c>
      <c r="G12" s="209">
        <v>63743.880000000005</v>
      </c>
      <c r="H12" s="209">
        <v>66243.64</v>
      </c>
      <c r="I12" s="209">
        <v>67493.52</v>
      </c>
      <c r="J12" s="209">
        <v>64993.76000000001</v>
      </c>
      <c r="K12" s="209">
        <v>68743.40000000001</v>
      </c>
      <c r="L12" s="209">
        <v>68118.46</v>
      </c>
      <c r="M12" s="209">
        <v>63118.94</v>
      </c>
      <c r="N12" s="209">
        <v>63743.880000000005</v>
      </c>
      <c r="O12" s="210">
        <v>746803.2999999999</v>
      </c>
    </row>
    <row r="13" spans="1:15" ht="12.75">
      <c r="A13" s="246"/>
      <c r="B13" s="206" t="s">
        <v>25</v>
      </c>
      <c r="C13" s="211">
        <v>-19173.439999999988</v>
      </c>
      <c r="D13" s="212">
        <v>-18067.27999999999</v>
      </c>
      <c r="E13" s="212">
        <v>-16592.399999999994</v>
      </c>
      <c r="F13" s="212">
        <v>-11245.959999999992</v>
      </c>
      <c r="G13" s="212">
        <v>-18804.719999999987</v>
      </c>
      <c r="H13" s="212">
        <v>-19542.15999999999</v>
      </c>
      <c r="I13" s="212">
        <v>-19910.87999999999</v>
      </c>
      <c r="J13" s="212">
        <v>-19173.439999999988</v>
      </c>
      <c r="K13" s="212">
        <v>-20279.59999999999</v>
      </c>
      <c r="L13" s="212">
        <v>-20095.23999999999</v>
      </c>
      <c r="M13" s="212">
        <v>-18620.359999999986</v>
      </c>
      <c r="N13" s="212">
        <v>-18804.719999999987</v>
      </c>
      <c r="O13" s="213">
        <v>-220310.19999999984</v>
      </c>
    </row>
    <row r="14" spans="1:15" ht="12.75">
      <c r="A14" s="246"/>
      <c r="B14" s="206" t="s">
        <v>26</v>
      </c>
      <c r="C14" s="211">
        <v>-945.8929026953723</v>
      </c>
      <c r="D14" s="212">
        <v>-891.3221583091008</v>
      </c>
      <c r="E14" s="212">
        <v>-818.5611657940722</v>
      </c>
      <c r="F14" s="212">
        <v>-554.8025679270934</v>
      </c>
      <c r="G14" s="212">
        <v>-927.7026545666151</v>
      </c>
      <c r="H14" s="212">
        <v>-964.0831508241295</v>
      </c>
      <c r="I14" s="212">
        <v>-982.2733989528866</v>
      </c>
      <c r="J14" s="212">
        <v>-945.8929026953723</v>
      </c>
      <c r="K14" s="212">
        <v>-1000.4636470816438</v>
      </c>
      <c r="L14" s="212">
        <v>-991.3685230172651</v>
      </c>
      <c r="M14" s="212">
        <v>-918.6075305022365</v>
      </c>
      <c r="N14" s="212">
        <v>-927.7026545666151</v>
      </c>
      <c r="O14" s="213">
        <v>-10868.673256932405</v>
      </c>
    </row>
    <row r="15" spans="1:15" ht="12.75">
      <c r="A15" s="246"/>
      <c r="B15" s="206" t="s">
        <v>27</v>
      </c>
      <c r="C15" s="211">
        <v>-11956.372902695355</v>
      </c>
      <c r="D15" s="212">
        <v>-11266.582158309087</v>
      </c>
      <c r="E15" s="212">
        <v>-10346.86116579406</v>
      </c>
      <c r="F15" s="212">
        <v>-7012.8725679270865</v>
      </c>
      <c r="G15" s="212">
        <v>-11726.442654566607</v>
      </c>
      <c r="H15" s="212">
        <v>-12186.30315082413</v>
      </c>
      <c r="I15" s="212">
        <v>-12416.233398952878</v>
      </c>
      <c r="J15" s="212">
        <v>-11956.372902695355</v>
      </c>
      <c r="K15" s="212">
        <v>-12646.163647081627</v>
      </c>
      <c r="L15" s="212">
        <v>-12531.198523017254</v>
      </c>
      <c r="M15" s="212">
        <v>-11611.47753050223</v>
      </c>
      <c r="N15" s="212">
        <v>-11726.442654566607</v>
      </c>
      <c r="O15" s="213">
        <v>-137383.3232569323</v>
      </c>
    </row>
    <row r="16" spans="1:15" ht="12.75">
      <c r="A16" s="246"/>
      <c r="B16" s="206" t="s">
        <v>51</v>
      </c>
      <c r="C16" s="214">
        <v>84167.2</v>
      </c>
      <c r="D16" s="192">
        <v>79311.4</v>
      </c>
      <c r="E16" s="192">
        <v>72837</v>
      </c>
      <c r="F16" s="192">
        <v>49367.299999999996</v>
      </c>
      <c r="G16" s="192">
        <v>82548.59999999999</v>
      </c>
      <c r="H16" s="192">
        <v>85785.79999999999</v>
      </c>
      <c r="I16" s="192">
        <v>87404.4</v>
      </c>
      <c r="J16" s="192">
        <v>84167.2</v>
      </c>
      <c r="K16" s="192">
        <v>89023</v>
      </c>
      <c r="L16" s="192">
        <v>88213.7</v>
      </c>
      <c r="M16" s="192">
        <v>81739.29999999999</v>
      </c>
      <c r="N16" s="192">
        <v>82548.59999999999</v>
      </c>
      <c r="O16" s="215">
        <v>967113.4999999999</v>
      </c>
    </row>
    <row r="17" spans="1:15" ht="12.75">
      <c r="A17" s="246"/>
      <c r="B17" s="206" t="s">
        <v>92</v>
      </c>
      <c r="C17" s="214">
        <v>76004.23999999999</v>
      </c>
      <c r="D17" s="192">
        <v>71619.37999999999</v>
      </c>
      <c r="E17" s="192">
        <v>65772.9</v>
      </c>
      <c r="F17" s="192">
        <v>44579.409999999996</v>
      </c>
      <c r="G17" s="192">
        <v>74542.62</v>
      </c>
      <c r="H17" s="192">
        <v>77465.86</v>
      </c>
      <c r="I17" s="192">
        <v>78927.48</v>
      </c>
      <c r="J17" s="192">
        <v>76004.23999999999</v>
      </c>
      <c r="K17" s="192">
        <v>80389.09999999999</v>
      </c>
      <c r="L17" s="192">
        <v>79658.29</v>
      </c>
      <c r="M17" s="192">
        <v>73811.81</v>
      </c>
      <c r="N17" s="192">
        <v>74542.62</v>
      </c>
      <c r="O17" s="215">
        <v>873317.9499999998</v>
      </c>
    </row>
    <row r="18" spans="1:15" ht="12.75">
      <c r="A18" s="246"/>
      <c r="B18" s="206" t="s">
        <v>94</v>
      </c>
      <c r="C18" s="214">
        <v>-8162.960000000006</v>
      </c>
      <c r="D18" s="192">
        <v>-7692.020000000004</v>
      </c>
      <c r="E18" s="192">
        <v>-7064.100000000006</v>
      </c>
      <c r="F18" s="192">
        <v>-4787.889999999999</v>
      </c>
      <c r="G18" s="192">
        <v>-8005.979999999996</v>
      </c>
      <c r="H18" s="192">
        <v>-8319.939999999988</v>
      </c>
      <c r="I18" s="192">
        <v>-8476.919999999998</v>
      </c>
      <c r="J18" s="192">
        <v>-8162.960000000006</v>
      </c>
      <c r="K18" s="192">
        <v>-8633.900000000009</v>
      </c>
      <c r="L18" s="192">
        <v>-8555.410000000003</v>
      </c>
      <c r="M18" s="192">
        <v>-7927.489999999991</v>
      </c>
      <c r="N18" s="192">
        <v>-8005.979999999996</v>
      </c>
      <c r="O18" s="215">
        <v>-93795.55</v>
      </c>
    </row>
    <row r="19" spans="1:15" ht="12.75">
      <c r="A19" s="199" t="s">
        <v>13</v>
      </c>
      <c r="B19" s="199" t="s">
        <v>72</v>
      </c>
      <c r="C19" s="208">
        <v>796798.5000000001</v>
      </c>
      <c r="D19" s="209">
        <v>539323.2200000001</v>
      </c>
      <c r="E19" s="209">
        <v>443082.46</v>
      </c>
      <c r="F19" s="209">
        <v>310595.18000000005</v>
      </c>
      <c r="G19" s="209">
        <v>498077.18000000005</v>
      </c>
      <c r="H19" s="209">
        <v>540573.1000000001</v>
      </c>
      <c r="I19" s="209">
        <v>579944.3200000001</v>
      </c>
      <c r="J19" s="209">
        <v>523074.78</v>
      </c>
      <c r="K19" s="209">
        <v>500576.94000000006</v>
      </c>
      <c r="L19" s="209">
        <v>419334.74000000005</v>
      </c>
      <c r="M19" s="209">
        <v>560571.18</v>
      </c>
      <c r="N19" s="209">
        <v>549322.26</v>
      </c>
      <c r="O19" s="210">
        <v>6261273.860000001</v>
      </c>
    </row>
    <row r="20" spans="1:15" ht="12.75">
      <c r="A20" s="246"/>
      <c r="B20" s="206" t="s">
        <v>25</v>
      </c>
      <c r="C20" s="211">
        <v>-235058.99999999988</v>
      </c>
      <c r="D20" s="212">
        <v>-159102.67999999982</v>
      </c>
      <c r="E20" s="212">
        <v>-130711.23999999993</v>
      </c>
      <c r="F20" s="212">
        <v>-91626.91999999993</v>
      </c>
      <c r="G20" s="212">
        <v>-146934.91999999993</v>
      </c>
      <c r="H20" s="212">
        <v>-159471.3999999999</v>
      </c>
      <c r="I20" s="212">
        <v>-171086.07999999984</v>
      </c>
      <c r="J20" s="212">
        <v>-154309.31999999995</v>
      </c>
      <c r="K20" s="212">
        <v>-147672.35999999987</v>
      </c>
      <c r="L20" s="212">
        <v>-123705.55999999988</v>
      </c>
      <c r="M20" s="212">
        <v>-165370.91999999993</v>
      </c>
      <c r="N20" s="212">
        <v>-162052.43999999994</v>
      </c>
      <c r="O20" s="213">
        <v>-1847102.8399999987</v>
      </c>
    </row>
    <row r="21" spans="1:15" ht="12.75">
      <c r="A21" s="246"/>
      <c r="B21" s="206" t="s">
        <v>26</v>
      </c>
      <c r="C21" s="211">
        <v>-11596.283182082689</v>
      </c>
      <c r="D21" s="212">
        <v>-7849.092067558715</v>
      </c>
      <c r="E21" s="212">
        <v>-6448.442961644413</v>
      </c>
      <c r="F21" s="212">
        <v>-4520.276659996154</v>
      </c>
      <c r="G21" s="212">
        <v>-7248.813879309728</v>
      </c>
      <c r="H21" s="212">
        <v>-7867.282315687472</v>
      </c>
      <c r="I21" s="212">
        <v>-8440.275131743323</v>
      </c>
      <c r="J21" s="212">
        <v>-7612.6188418848715</v>
      </c>
      <c r="K21" s="212">
        <v>-7285.194375567243</v>
      </c>
      <c r="L21" s="212">
        <v>-6102.828247198027</v>
      </c>
      <c r="M21" s="212">
        <v>-8158.326285747587</v>
      </c>
      <c r="N21" s="212">
        <v>-7994.614052588772</v>
      </c>
      <c r="O21" s="213">
        <v>-91124.04800100901</v>
      </c>
    </row>
    <row r="22" spans="1:15" ht="12.75">
      <c r="A22" s="246"/>
      <c r="B22" s="206" t="s">
        <v>27</v>
      </c>
      <c r="C22" s="211">
        <v>-146580.53318208246</v>
      </c>
      <c r="D22" s="212">
        <v>-99214.90206755855</v>
      </c>
      <c r="E22" s="212">
        <v>-81510.27296164437</v>
      </c>
      <c r="F22" s="212">
        <v>-57137.66665999606</v>
      </c>
      <c r="G22" s="212">
        <v>-91627.20387930961</v>
      </c>
      <c r="H22" s="212">
        <v>-99444.8323156873</v>
      </c>
      <c r="I22" s="212">
        <v>-106687.63513174318</v>
      </c>
      <c r="J22" s="212">
        <v>-96225.8088418848</v>
      </c>
      <c r="K22" s="212">
        <v>-92087.06437556713</v>
      </c>
      <c r="L22" s="212">
        <v>-77141.59824719792</v>
      </c>
      <c r="M22" s="212">
        <v>-103123.71628574748</v>
      </c>
      <c r="N22" s="212">
        <v>-101054.34405258874</v>
      </c>
      <c r="O22" s="213">
        <v>-1151835.5780010077</v>
      </c>
    </row>
    <row r="23" spans="1:15" ht="12.75">
      <c r="A23" s="246"/>
      <c r="B23" s="206" t="s">
        <v>51</v>
      </c>
      <c r="C23" s="214">
        <v>1031857.5</v>
      </c>
      <c r="D23" s="192">
        <v>698425.8999999999</v>
      </c>
      <c r="E23" s="192">
        <v>573793.7</v>
      </c>
      <c r="F23" s="192">
        <v>402222.1</v>
      </c>
      <c r="G23" s="192">
        <v>645012.1</v>
      </c>
      <c r="H23" s="192">
        <v>700044.5</v>
      </c>
      <c r="I23" s="192">
        <v>751030.3999999999</v>
      </c>
      <c r="J23" s="192">
        <v>677384.1</v>
      </c>
      <c r="K23" s="192">
        <v>648249.2999999999</v>
      </c>
      <c r="L23" s="192">
        <v>543040.2999999999</v>
      </c>
      <c r="M23" s="192">
        <v>725942.1</v>
      </c>
      <c r="N23" s="192">
        <v>711374.7</v>
      </c>
      <c r="O23" s="215">
        <v>8108376.699999998</v>
      </c>
    </row>
    <row r="24" spans="1:15" ht="12.75">
      <c r="A24" s="246"/>
      <c r="B24" s="206" t="s">
        <v>92</v>
      </c>
      <c r="C24" s="214">
        <v>931782.7499999999</v>
      </c>
      <c r="D24" s="192">
        <v>630689.0299999999</v>
      </c>
      <c r="E24" s="192">
        <v>518144.29</v>
      </c>
      <c r="F24" s="192">
        <v>363212.56999999995</v>
      </c>
      <c r="G24" s="192">
        <v>582455.57</v>
      </c>
      <c r="H24" s="192">
        <v>632150.6499999999</v>
      </c>
      <c r="I24" s="192">
        <v>678191.6799999999</v>
      </c>
      <c r="J24" s="192">
        <v>611687.97</v>
      </c>
      <c r="K24" s="192">
        <v>585378.8099999999</v>
      </c>
      <c r="L24" s="192">
        <v>490373.50999999995</v>
      </c>
      <c r="M24" s="192">
        <v>655536.57</v>
      </c>
      <c r="N24" s="192">
        <v>642381.99</v>
      </c>
      <c r="O24" s="215">
        <v>7321985.389999999</v>
      </c>
    </row>
    <row r="25" spans="1:15" ht="12.75">
      <c r="A25" s="246"/>
      <c r="B25" s="206" t="s">
        <v>94</v>
      </c>
      <c r="C25" s="214">
        <v>-100074.75000000012</v>
      </c>
      <c r="D25" s="192">
        <v>-67736.87</v>
      </c>
      <c r="E25" s="192">
        <v>-55649.409999999974</v>
      </c>
      <c r="F25" s="192">
        <v>-39009.53000000003</v>
      </c>
      <c r="G25" s="192">
        <v>-62556.53000000003</v>
      </c>
      <c r="H25" s="192">
        <v>-67893.8500000001</v>
      </c>
      <c r="I25" s="192">
        <v>-72838.71999999997</v>
      </c>
      <c r="J25" s="192">
        <v>-65696.13</v>
      </c>
      <c r="K25" s="192">
        <v>-62870.48999999999</v>
      </c>
      <c r="L25" s="192">
        <v>-52666.78999999998</v>
      </c>
      <c r="M25" s="192">
        <v>-70405.53000000003</v>
      </c>
      <c r="N25" s="192">
        <v>-68992.70999999996</v>
      </c>
      <c r="O25" s="215">
        <v>-786391.3100000003</v>
      </c>
    </row>
    <row r="26" spans="1:15" ht="12.75">
      <c r="A26" s="199" t="s">
        <v>15</v>
      </c>
      <c r="B26" s="199" t="s">
        <v>72</v>
      </c>
      <c r="C26" s="208">
        <v>5624.460000000001</v>
      </c>
      <c r="D26" s="209">
        <v>4374.58</v>
      </c>
      <c r="E26" s="209">
        <v>3749.6400000000003</v>
      </c>
      <c r="F26" s="209">
        <v>4999.52</v>
      </c>
      <c r="G26" s="209">
        <v>6874.34</v>
      </c>
      <c r="H26" s="209">
        <v>8749.16</v>
      </c>
      <c r="I26" s="209">
        <v>11248.920000000002</v>
      </c>
      <c r="J26" s="209">
        <v>9374.1</v>
      </c>
      <c r="K26" s="209">
        <v>4374.58</v>
      </c>
      <c r="L26" s="209">
        <v>4374.58</v>
      </c>
      <c r="M26" s="209">
        <v>4374.58</v>
      </c>
      <c r="N26" s="209">
        <v>4374.58</v>
      </c>
      <c r="O26" s="210">
        <v>72493.04</v>
      </c>
    </row>
    <row r="27" spans="1:15" ht="12.75">
      <c r="A27" s="246"/>
      <c r="B27" s="206" t="s">
        <v>25</v>
      </c>
      <c r="C27" s="211">
        <v>-1659.2399999999989</v>
      </c>
      <c r="D27" s="212">
        <v>-1290.5199999999995</v>
      </c>
      <c r="E27" s="212">
        <v>-1106.159999999999</v>
      </c>
      <c r="F27" s="212">
        <v>-1474.8799999999992</v>
      </c>
      <c r="G27" s="212">
        <v>-2027.9599999999991</v>
      </c>
      <c r="H27" s="212">
        <v>-2581.039999999999</v>
      </c>
      <c r="I27" s="212">
        <v>-3318.4799999999977</v>
      </c>
      <c r="J27" s="212">
        <v>-2765.3999999999996</v>
      </c>
      <c r="K27" s="212">
        <v>-1290.5199999999995</v>
      </c>
      <c r="L27" s="212">
        <v>-1290.5199999999995</v>
      </c>
      <c r="M27" s="212">
        <v>-1290.5199999999995</v>
      </c>
      <c r="N27" s="212">
        <v>-1290.5199999999995</v>
      </c>
      <c r="O27" s="213">
        <v>-21385.759999999995</v>
      </c>
    </row>
    <row r="28" spans="1:15" ht="12.75">
      <c r="A28" s="246"/>
      <c r="B28" s="206" t="s">
        <v>26</v>
      </c>
      <c r="C28" s="211">
        <v>-81.85611657940721</v>
      </c>
      <c r="D28" s="212">
        <v>-63.66586845065006</v>
      </c>
      <c r="E28" s="212">
        <v>-54.57074438627148</v>
      </c>
      <c r="F28" s="212">
        <v>-72.76099251502863</v>
      </c>
      <c r="G28" s="212">
        <v>-100.04636470816438</v>
      </c>
      <c r="H28" s="212">
        <v>-127.33173690130012</v>
      </c>
      <c r="I28" s="212">
        <v>-163.71223315881443</v>
      </c>
      <c r="J28" s="212">
        <v>-136.4268609656787</v>
      </c>
      <c r="K28" s="212">
        <v>-63.66586845065006</v>
      </c>
      <c r="L28" s="212">
        <v>-63.66586845065006</v>
      </c>
      <c r="M28" s="212">
        <v>-63.66586845065006</v>
      </c>
      <c r="N28" s="212">
        <v>-63.66586845065006</v>
      </c>
      <c r="O28" s="213">
        <v>-1055.0343914679152</v>
      </c>
    </row>
    <row r="29" spans="1:15" ht="12.75">
      <c r="A29" s="246"/>
      <c r="B29" s="206" t="s">
        <v>27</v>
      </c>
      <c r="C29" s="211">
        <v>-1034.6861165794053</v>
      </c>
      <c r="D29" s="212">
        <v>-804.7558684506503</v>
      </c>
      <c r="E29" s="212">
        <v>-689.7907443862707</v>
      </c>
      <c r="F29" s="212">
        <v>-919.7209925150278</v>
      </c>
      <c r="G29" s="212">
        <v>-1264.616364708164</v>
      </c>
      <c r="H29" s="212">
        <v>-1609.5117369013005</v>
      </c>
      <c r="I29" s="212">
        <v>-2069.3722331588106</v>
      </c>
      <c r="J29" s="212">
        <v>-1724.476860965678</v>
      </c>
      <c r="K29" s="212">
        <v>-804.7558684506503</v>
      </c>
      <c r="L29" s="212">
        <v>-804.7558684506503</v>
      </c>
      <c r="M29" s="212">
        <v>-804.7558684506503</v>
      </c>
      <c r="N29" s="212">
        <v>-804.7558684506503</v>
      </c>
      <c r="O29" s="213">
        <v>-13335.954391467913</v>
      </c>
    </row>
    <row r="30" spans="1:15" ht="12.75">
      <c r="A30" s="246"/>
      <c r="B30" s="206" t="s">
        <v>51</v>
      </c>
      <c r="C30" s="214">
        <v>7283.7</v>
      </c>
      <c r="D30" s="192">
        <v>5665.099999999999</v>
      </c>
      <c r="E30" s="192">
        <v>4855.799999999999</v>
      </c>
      <c r="F30" s="192">
        <v>6474.4</v>
      </c>
      <c r="G30" s="192">
        <v>8902.3</v>
      </c>
      <c r="H30" s="192">
        <v>11330.199999999999</v>
      </c>
      <c r="I30" s="192">
        <v>14567.4</v>
      </c>
      <c r="J30" s="192">
        <v>12139.5</v>
      </c>
      <c r="K30" s="192">
        <v>5665.099999999999</v>
      </c>
      <c r="L30" s="192">
        <v>5665.099999999999</v>
      </c>
      <c r="M30" s="192">
        <v>5665.099999999999</v>
      </c>
      <c r="N30" s="192">
        <v>5665.099999999999</v>
      </c>
      <c r="O30" s="215">
        <v>93878.80000000002</v>
      </c>
    </row>
    <row r="31" spans="1:15" ht="12.75">
      <c r="A31" s="246"/>
      <c r="B31" s="206" t="s">
        <v>92</v>
      </c>
      <c r="C31" s="214">
        <v>6577.289999999999</v>
      </c>
      <c r="D31" s="192">
        <v>5115.67</v>
      </c>
      <c r="E31" s="192">
        <v>4384.86</v>
      </c>
      <c r="F31" s="192">
        <v>5846.48</v>
      </c>
      <c r="G31" s="192">
        <v>8038.91</v>
      </c>
      <c r="H31" s="192">
        <v>10231.34</v>
      </c>
      <c r="I31" s="192">
        <v>13154.579999999998</v>
      </c>
      <c r="J31" s="192">
        <v>10962.15</v>
      </c>
      <c r="K31" s="192">
        <v>5115.67</v>
      </c>
      <c r="L31" s="192">
        <v>5115.67</v>
      </c>
      <c r="M31" s="192">
        <v>5115.67</v>
      </c>
      <c r="N31" s="192">
        <v>5115.67</v>
      </c>
      <c r="O31" s="215">
        <v>84773.96</v>
      </c>
    </row>
    <row r="32" spans="1:15" ht="12.75">
      <c r="A32" s="246"/>
      <c r="B32" s="206" t="s">
        <v>94</v>
      </c>
      <c r="C32" s="214">
        <v>-706.4100000000008</v>
      </c>
      <c r="D32" s="192">
        <v>-549.4299999999994</v>
      </c>
      <c r="E32" s="192">
        <v>-470.9399999999996</v>
      </c>
      <c r="F32" s="192">
        <v>-627.9200000000001</v>
      </c>
      <c r="G32" s="192">
        <v>-863.3899999999994</v>
      </c>
      <c r="H32" s="192">
        <v>-1098.8599999999988</v>
      </c>
      <c r="I32" s="192">
        <v>-1412.8200000000015</v>
      </c>
      <c r="J32" s="192">
        <v>-1177.3500000000004</v>
      </c>
      <c r="K32" s="192">
        <v>-549.4299999999994</v>
      </c>
      <c r="L32" s="192">
        <v>-549.4299999999994</v>
      </c>
      <c r="M32" s="192">
        <v>-549.4299999999994</v>
      </c>
      <c r="N32" s="192">
        <v>-549.4299999999994</v>
      </c>
      <c r="O32" s="215">
        <v>-9104.839999999997</v>
      </c>
    </row>
    <row r="33" spans="1:15" ht="12.75">
      <c r="A33" s="199" t="s">
        <v>16</v>
      </c>
      <c r="B33" s="199" t="s">
        <v>72</v>
      </c>
      <c r="C33" s="208">
        <v>1249.88</v>
      </c>
      <c r="D33" s="209">
        <v>1249.88</v>
      </c>
      <c r="E33" s="209">
        <v>624.94</v>
      </c>
      <c r="F33" s="209">
        <v>624.94</v>
      </c>
      <c r="G33" s="209">
        <v>2499.76</v>
      </c>
      <c r="H33" s="209">
        <v>1874.8200000000002</v>
      </c>
      <c r="I33" s="209">
        <v>2499.76</v>
      </c>
      <c r="J33" s="209">
        <v>3749.6400000000003</v>
      </c>
      <c r="K33" s="209">
        <v>1249.88</v>
      </c>
      <c r="L33" s="209">
        <v>1249.88</v>
      </c>
      <c r="M33" s="209">
        <v>1874.8200000000002</v>
      </c>
      <c r="N33" s="209">
        <v>1249.88</v>
      </c>
      <c r="O33" s="210">
        <v>19998.080000000005</v>
      </c>
    </row>
    <row r="34" spans="1:15" ht="12.75">
      <c r="A34" s="246"/>
      <c r="B34" s="206" t="s">
        <v>25</v>
      </c>
      <c r="C34" s="211">
        <v>-368.7199999999998</v>
      </c>
      <c r="D34" s="212">
        <v>-368.7199999999998</v>
      </c>
      <c r="E34" s="212">
        <v>-184.3599999999999</v>
      </c>
      <c r="F34" s="212">
        <v>-184.3599999999999</v>
      </c>
      <c r="G34" s="212">
        <v>-737.4399999999996</v>
      </c>
      <c r="H34" s="212">
        <v>-553.0799999999995</v>
      </c>
      <c r="I34" s="212">
        <v>-737.4399999999996</v>
      </c>
      <c r="J34" s="212">
        <v>-1106.159999999999</v>
      </c>
      <c r="K34" s="212">
        <v>-368.7199999999998</v>
      </c>
      <c r="L34" s="212">
        <v>-368.7199999999998</v>
      </c>
      <c r="M34" s="212">
        <v>-553.0799999999995</v>
      </c>
      <c r="N34" s="212">
        <v>-368.7199999999998</v>
      </c>
      <c r="O34" s="213">
        <v>-5899.519999999995</v>
      </c>
    </row>
    <row r="35" spans="1:15" ht="12.75">
      <c r="A35" s="246"/>
      <c r="B35" s="206" t="s">
        <v>26</v>
      </c>
      <c r="C35" s="211">
        <v>-18.19024812875716</v>
      </c>
      <c r="D35" s="212">
        <v>-18.19024812875716</v>
      </c>
      <c r="E35" s="212">
        <v>-9.09512406437858</v>
      </c>
      <c r="F35" s="212">
        <v>-9.09512406437858</v>
      </c>
      <c r="G35" s="212">
        <v>-36.38049625751432</v>
      </c>
      <c r="H35" s="212">
        <v>-27.28537219313574</v>
      </c>
      <c r="I35" s="212">
        <v>-36.38049625751432</v>
      </c>
      <c r="J35" s="212">
        <v>-54.57074438627148</v>
      </c>
      <c r="K35" s="212">
        <v>-18.19024812875716</v>
      </c>
      <c r="L35" s="212">
        <v>-18.19024812875716</v>
      </c>
      <c r="M35" s="212">
        <v>-27.28537219313574</v>
      </c>
      <c r="N35" s="212">
        <v>-18.19024812875716</v>
      </c>
      <c r="O35" s="213">
        <v>-291.04397006011453</v>
      </c>
    </row>
    <row r="36" spans="1:15" ht="12.75">
      <c r="A36" s="246"/>
      <c r="B36" s="206" t="s">
        <v>27</v>
      </c>
      <c r="C36" s="211">
        <v>-229.93024812875694</v>
      </c>
      <c r="D36" s="212">
        <v>-229.93024812875694</v>
      </c>
      <c r="E36" s="212">
        <v>-114.96512406437847</v>
      </c>
      <c r="F36" s="212">
        <v>-114.96512406437847</v>
      </c>
      <c r="G36" s="212">
        <v>-459.8604962575139</v>
      </c>
      <c r="H36" s="212">
        <v>-344.89537219313536</v>
      </c>
      <c r="I36" s="212">
        <v>-459.8604962575139</v>
      </c>
      <c r="J36" s="212">
        <v>-689.7907443862707</v>
      </c>
      <c r="K36" s="212">
        <v>-229.93024812875694</v>
      </c>
      <c r="L36" s="212">
        <v>-229.93024812875694</v>
      </c>
      <c r="M36" s="212">
        <v>-344.89537219313536</v>
      </c>
      <c r="N36" s="212">
        <v>-229.93024812875694</v>
      </c>
      <c r="O36" s="213">
        <v>-3678.88397006011</v>
      </c>
    </row>
    <row r="37" spans="1:15" ht="12.75">
      <c r="A37" s="246"/>
      <c r="B37" s="206" t="s">
        <v>51</v>
      </c>
      <c r="C37" s="214">
        <v>1618.6</v>
      </c>
      <c r="D37" s="192">
        <v>1618.6</v>
      </c>
      <c r="E37" s="192">
        <v>809.3</v>
      </c>
      <c r="F37" s="192">
        <v>809.3</v>
      </c>
      <c r="G37" s="192">
        <v>3237.2</v>
      </c>
      <c r="H37" s="192">
        <v>2427.8999999999996</v>
      </c>
      <c r="I37" s="192">
        <v>3237.2</v>
      </c>
      <c r="J37" s="192">
        <v>4855.799999999999</v>
      </c>
      <c r="K37" s="192">
        <v>1618.6</v>
      </c>
      <c r="L37" s="192">
        <v>1618.6</v>
      </c>
      <c r="M37" s="192">
        <v>2427.8999999999996</v>
      </c>
      <c r="N37" s="192">
        <v>1618.6</v>
      </c>
      <c r="O37" s="215">
        <v>25897.59999999999</v>
      </c>
    </row>
    <row r="38" spans="1:15" ht="12.75">
      <c r="A38" s="246"/>
      <c r="B38" s="206" t="s">
        <v>92</v>
      </c>
      <c r="C38" s="214">
        <v>1461.62</v>
      </c>
      <c r="D38" s="192">
        <v>1461.62</v>
      </c>
      <c r="E38" s="192">
        <v>730.81</v>
      </c>
      <c r="F38" s="192">
        <v>730.81</v>
      </c>
      <c r="G38" s="192">
        <v>2923.24</v>
      </c>
      <c r="H38" s="192">
        <v>2192.43</v>
      </c>
      <c r="I38" s="192">
        <v>2923.24</v>
      </c>
      <c r="J38" s="192">
        <v>4384.86</v>
      </c>
      <c r="K38" s="192">
        <v>1461.62</v>
      </c>
      <c r="L38" s="192">
        <v>1461.62</v>
      </c>
      <c r="M38" s="192">
        <v>2192.43</v>
      </c>
      <c r="N38" s="192">
        <v>1461.62</v>
      </c>
      <c r="O38" s="215">
        <v>23385.919999999995</v>
      </c>
    </row>
    <row r="39" spans="1:15" ht="12.75">
      <c r="A39" s="246"/>
      <c r="B39" s="206" t="s">
        <v>94</v>
      </c>
      <c r="C39" s="214">
        <v>-156.98000000000002</v>
      </c>
      <c r="D39" s="192">
        <v>-156.98000000000002</v>
      </c>
      <c r="E39" s="192">
        <v>-78.49000000000001</v>
      </c>
      <c r="F39" s="192">
        <v>-78.49000000000001</v>
      </c>
      <c r="G39" s="192">
        <v>-313.96000000000004</v>
      </c>
      <c r="H39" s="192">
        <v>-235.4699999999998</v>
      </c>
      <c r="I39" s="192">
        <v>-313.96000000000004</v>
      </c>
      <c r="J39" s="192">
        <v>-470.9399999999996</v>
      </c>
      <c r="K39" s="192">
        <v>-156.98000000000002</v>
      </c>
      <c r="L39" s="192">
        <v>-156.98000000000002</v>
      </c>
      <c r="M39" s="192">
        <v>-235.4699999999998</v>
      </c>
      <c r="N39" s="192">
        <v>-156.98000000000002</v>
      </c>
      <c r="O39" s="215">
        <v>-2511.6799999999994</v>
      </c>
    </row>
    <row r="40" spans="1:15" ht="12.75">
      <c r="A40" s="199" t="s">
        <v>19</v>
      </c>
      <c r="B40" s="199" t="s">
        <v>72</v>
      </c>
      <c r="C40" s="208">
        <v>13123.740000000002</v>
      </c>
      <c r="D40" s="209">
        <v>7499.280000000001</v>
      </c>
      <c r="E40" s="209">
        <v>13748.68</v>
      </c>
      <c r="F40" s="209">
        <v>9374.1</v>
      </c>
      <c r="G40" s="209">
        <v>14373.62</v>
      </c>
      <c r="H40" s="209">
        <v>11873.86</v>
      </c>
      <c r="I40" s="209">
        <v>11873.86</v>
      </c>
      <c r="J40" s="209">
        <v>11248.920000000002</v>
      </c>
      <c r="K40" s="209">
        <v>8124.220000000001</v>
      </c>
      <c r="L40" s="209">
        <v>9374.1</v>
      </c>
      <c r="M40" s="209">
        <v>13748.68</v>
      </c>
      <c r="N40" s="209">
        <v>12498.800000000001</v>
      </c>
      <c r="O40" s="210">
        <v>136861.86</v>
      </c>
    </row>
    <row r="41" spans="1:15" ht="12.75">
      <c r="A41" s="246"/>
      <c r="B41" s="206" t="s">
        <v>25</v>
      </c>
      <c r="C41" s="211">
        <v>-3871.5599999999977</v>
      </c>
      <c r="D41" s="212">
        <v>-2212.319999999998</v>
      </c>
      <c r="E41" s="212">
        <v>-4055.9199999999983</v>
      </c>
      <c r="F41" s="212">
        <v>-2765.3999999999996</v>
      </c>
      <c r="G41" s="212">
        <v>-4240.279999999997</v>
      </c>
      <c r="H41" s="212">
        <v>-3502.8399999999983</v>
      </c>
      <c r="I41" s="212">
        <v>-3502.8399999999983</v>
      </c>
      <c r="J41" s="212">
        <v>-3318.4799999999977</v>
      </c>
      <c r="K41" s="212">
        <v>-2396.6799999999985</v>
      </c>
      <c r="L41" s="212">
        <v>-2765.3999999999996</v>
      </c>
      <c r="M41" s="212">
        <v>-4055.9199999999983</v>
      </c>
      <c r="N41" s="212">
        <v>-3687.199999999999</v>
      </c>
      <c r="O41" s="213">
        <v>-40374.839999999975</v>
      </c>
    </row>
    <row r="42" spans="1:15" ht="12.75">
      <c r="A42" s="246"/>
      <c r="B42" s="206" t="s">
        <v>26</v>
      </c>
      <c r="C42" s="211">
        <v>-190.99760535195017</v>
      </c>
      <c r="D42" s="212">
        <v>-109.14148877254296</v>
      </c>
      <c r="E42" s="212">
        <v>-200.09272941632875</v>
      </c>
      <c r="F42" s="212">
        <v>-136.4268609656787</v>
      </c>
      <c r="G42" s="212">
        <v>-209.18785348070733</v>
      </c>
      <c r="H42" s="212">
        <v>-172.807357223193</v>
      </c>
      <c r="I42" s="212">
        <v>-172.807357223193</v>
      </c>
      <c r="J42" s="212">
        <v>-163.71223315881443</v>
      </c>
      <c r="K42" s="212">
        <v>-118.23661283692154</v>
      </c>
      <c r="L42" s="212">
        <v>-136.4268609656787</v>
      </c>
      <c r="M42" s="212">
        <v>-200.09272941632875</v>
      </c>
      <c r="N42" s="212">
        <v>-181.9024812875716</v>
      </c>
      <c r="O42" s="213">
        <v>-1991.8321700989088</v>
      </c>
    </row>
    <row r="43" spans="1:15" ht="12.75">
      <c r="A43" s="246"/>
      <c r="B43" s="206" t="s">
        <v>27</v>
      </c>
      <c r="C43" s="211">
        <v>-2414.267605351947</v>
      </c>
      <c r="D43" s="212">
        <v>-1379.5814887725414</v>
      </c>
      <c r="E43" s="212">
        <v>-2529.232729416328</v>
      </c>
      <c r="F43" s="212">
        <v>-1724.476860965678</v>
      </c>
      <c r="G43" s="212">
        <v>-2644.197853480704</v>
      </c>
      <c r="H43" s="212">
        <v>-2184.3373572231917</v>
      </c>
      <c r="I43" s="212">
        <v>-2184.3373572231917</v>
      </c>
      <c r="J43" s="212">
        <v>-2069.3722331588106</v>
      </c>
      <c r="K43" s="212">
        <v>-1494.5466128369194</v>
      </c>
      <c r="L43" s="212">
        <v>-1724.476860965678</v>
      </c>
      <c r="M43" s="212">
        <v>-2529.232729416328</v>
      </c>
      <c r="N43" s="212">
        <v>-2299.302481287569</v>
      </c>
      <c r="O43" s="213">
        <v>-25177.36217009889</v>
      </c>
    </row>
    <row r="44" spans="1:15" ht="12.75">
      <c r="A44" s="246"/>
      <c r="B44" s="206" t="s">
        <v>51</v>
      </c>
      <c r="C44" s="214">
        <v>16995.3</v>
      </c>
      <c r="D44" s="192">
        <v>9711.599999999999</v>
      </c>
      <c r="E44" s="192">
        <v>17804.6</v>
      </c>
      <c r="F44" s="192">
        <v>12139.5</v>
      </c>
      <c r="G44" s="192">
        <v>18613.899999999998</v>
      </c>
      <c r="H44" s="192">
        <v>15376.699999999999</v>
      </c>
      <c r="I44" s="192">
        <v>15376.699999999999</v>
      </c>
      <c r="J44" s="192">
        <v>14567.4</v>
      </c>
      <c r="K44" s="192">
        <v>10520.9</v>
      </c>
      <c r="L44" s="192">
        <v>12139.5</v>
      </c>
      <c r="M44" s="192">
        <v>17804.6</v>
      </c>
      <c r="N44" s="192">
        <v>16186</v>
      </c>
      <c r="O44" s="215">
        <v>177236.69999999998</v>
      </c>
    </row>
    <row r="45" spans="1:15" ht="12.75">
      <c r="A45" s="246"/>
      <c r="B45" s="206" t="s">
        <v>92</v>
      </c>
      <c r="C45" s="214">
        <v>15347.009999999998</v>
      </c>
      <c r="D45" s="192">
        <v>8769.72</v>
      </c>
      <c r="E45" s="192">
        <v>16077.82</v>
      </c>
      <c r="F45" s="192">
        <v>10962.15</v>
      </c>
      <c r="G45" s="192">
        <v>16808.629999999997</v>
      </c>
      <c r="H45" s="192">
        <v>13885.39</v>
      </c>
      <c r="I45" s="192">
        <v>13885.39</v>
      </c>
      <c r="J45" s="192">
        <v>13154.579999999998</v>
      </c>
      <c r="K45" s="192">
        <v>9500.529999999999</v>
      </c>
      <c r="L45" s="192">
        <v>10962.15</v>
      </c>
      <c r="M45" s="192">
        <v>16077.82</v>
      </c>
      <c r="N45" s="192">
        <v>14616.199999999999</v>
      </c>
      <c r="O45" s="215">
        <v>160047.38999999998</v>
      </c>
    </row>
    <row r="46" spans="1:15" ht="12.75">
      <c r="A46" s="246"/>
      <c r="B46" s="206" t="s">
        <v>94</v>
      </c>
      <c r="C46" s="214">
        <v>-1648.2900000000009</v>
      </c>
      <c r="D46" s="192">
        <v>-941.8799999999992</v>
      </c>
      <c r="E46" s="192">
        <v>-1726.7799999999988</v>
      </c>
      <c r="F46" s="192">
        <v>-1177.3500000000004</v>
      </c>
      <c r="G46" s="192">
        <v>-1805.2700000000004</v>
      </c>
      <c r="H46" s="192">
        <v>-1491.3099999999995</v>
      </c>
      <c r="I46" s="192">
        <v>-1491.3099999999995</v>
      </c>
      <c r="J46" s="192">
        <v>-1412.8200000000015</v>
      </c>
      <c r="K46" s="192">
        <v>-1020.3700000000008</v>
      </c>
      <c r="L46" s="192">
        <v>-1177.3500000000004</v>
      </c>
      <c r="M46" s="192">
        <v>-1726.7799999999988</v>
      </c>
      <c r="N46" s="192">
        <v>-1569.800000000001</v>
      </c>
      <c r="O46" s="215">
        <v>-17189.31</v>
      </c>
    </row>
    <row r="47" spans="1:15" ht="12.75">
      <c r="A47" s="199" t="s">
        <v>8</v>
      </c>
      <c r="B47" s="199" t="s">
        <v>72</v>
      </c>
      <c r="C47" s="208">
        <v>61869.060000000005</v>
      </c>
      <c r="D47" s="209">
        <v>52494.96000000001</v>
      </c>
      <c r="E47" s="209">
        <v>42495.920000000006</v>
      </c>
      <c r="F47" s="209">
        <v>46245.560000000005</v>
      </c>
      <c r="G47" s="209">
        <v>86241.72</v>
      </c>
      <c r="H47" s="209">
        <v>93116.06000000001</v>
      </c>
      <c r="I47" s="209">
        <v>99990.40000000001</v>
      </c>
      <c r="J47" s="209">
        <v>89366.42000000001</v>
      </c>
      <c r="K47" s="209">
        <v>81242.20000000001</v>
      </c>
      <c r="L47" s="209">
        <v>73117.98000000001</v>
      </c>
      <c r="M47" s="209">
        <v>46245.560000000005</v>
      </c>
      <c r="N47" s="209">
        <v>47495.44</v>
      </c>
      <c r="O47" s="210">
        <v>819921.28</v>
      </c>
    </row>
    <row r="48" spans="1:15" ht="12.75">
      <c r="A48" s="246"/>
      <c r="B48" s="206" t="s">
        <v>25</v>
      </c>
      <c r="C48" s="211">
        <v>-18251.639999999992</v>
      </c>
      <c r="D48" s="212">
        <v>-15486.23999999999</v>
      </c>
      <c r="E48" s="212">
        <v>-12536.479999999989</v>
      </c>
      <c r="F48" s="212">
        <v>-13642.639999999992</v>
      </c>
      <c r="G48" s="212">
        <v>-25441.679999999993</v>
      </c>
      <c r="H48" s="212">
        <v>-27469.639999999985</v>
      </c>
      <c r="I48" s="212">
        <v>-29497.59999999999</v>
      </c>
      <c r="J48" s="212">
        <v>-26363.47999999998</v>
      </c>
      <c r="K48" s="212">
        <v>-23966.79999999999</v>
      </c>
      <c r="L48" s="212">
        <v>-21570.11999999998</v>
      </c>
      <c r="M48" s="212">
        <v>-13642.639999999992</v>
      </c>
      <c r="N48" s="212">
        <v>-14011.359999999993</v>
      </c>
      <c r="O48" s="213">
        <v>-241880.31999999986</v>
      </c>
    </row>
    <row r="49" spans="1:15" ht="12.75">
      <c r="A49" s="246"/>
      <c r="B49" s="206" t="s">
        <v>26</v>
      </c>
      <c r="C49" s="211">
        <v>-900.4172823734793</v>
      </c>
      <c r="D49" s="212">
        <v>-763.9904214078007</v>
      </c>
      <c r="E49" s="212">
        <v>-618.4684363777434</v>
      </c>
      <c r="F49" s="212">
        <v>-673.0391807640149</v>
      </c>
      <c r="G49" s="212">
        <v>-1255.127120884244</v>
      </c>
      <c r="H49" s="212">
        <v>-1355.1734855924085</v>
      </c>
      <c r="I49" s="212">
        <v>-1455.2198503005727</v>
      </c>
      <c r="J49" s="212">
        <v>-1300.602741206137</v>
      </c>
      <c r="K49" s="212">
        <v>-1182.3661283692154</v>
      </c>
      <c r="L49" s="212">
        <v>-1064.1295155322937</v>
      </c>
      <c r="M49" s="212">
        <v>-673.0391807640149</v>
      </c>
      <c r="N49" s="212">
        <v>-691.229428892772</v>
      </c>
      <c r="O49" s="213">
        <v>-11932.802772464696</v>
      </c>
    </row>
    <row r="50" spans="1:15" ht="12.75">
      <c r="A50" s="246"/>
      <c r="B50" s="206" t="s">
        <v>27</v>
      </c>
      <c r="C50" s="211">
        <v>-11381.547282373464</v>
      </c>
      <c r="D50" s="212">
        <v>-9657.070421407789</v>
      </c>
      <c r="E50" s="212">
        <v>-7817.628436377732</v>
      </c>
      <c r="F50" s="212">
        <v>-8507.419180764005</v>
      </c>
      <c r="G50" s="212">
        <v>-15865.187120884242</v>
      </c>
      <c r="H50" s="212">
        <v>-17129.803485592383</v>
      </c>
      <c r="I50" s="212">
        <v>-18394.419850300554</v>
      </c>
      <c r="J50" s="212">
        <v>-16440.012741206112</v>
      </c>
      <c r="K50" s="212">
        <v>-14945.466128369193</v>
      </c>
      <c r="L50" s="212">
        <v>-13450.919515532274</v>
      </c>
      <c r="M50" s="212">
        <v>-8507.419180764005</v>
      </c>
      <c r="N50" s="212">
        <v>-8737.349428892767</v>
      </c>
      <c r="O50" s="213">
        <v>-150834.24277246452</v>
      </c>
    </row>
    <row r="51" spans="1:15" ht="12.75">
      <c r="A51" s="246"/>
      <c r="B51" s="206" t="s">
        <v>51</v>
      </c>
      <c r="C51" s="214">
        <v>80120.7</v>
      </c>
      <c r="D51" s="192">
        <v>67981.2</v>
      </c>
      <c r="E51" s="192">
        <v>55032.399999999994</v>
      </c>
      <c r="F51" s="192">
        <v>59888.2</v>
      </c>
      <c r="G51" s="192">
        <v>111683.4</v>
      </c>
      <c r="H51" s="192">
        <v>120585.7</v>
      </c>
      <c r="I51" s="192">
        <v>129488</v>
      </c>
      <c r="J51" s="192">
        <v>115729.9</v>
      </c>
      <c r="K51" s="192">
        <v>105209</v>
      </c>
      <c r="L51" s="192">
        <v>94688.09999999999</v>
      </c>
      <c r="M51" s="192">
        <v>59888.2</v>
      </c>
      <c r="N51" s="192">
        <v>61506.799999999996</v>
      </c>
      <c r="O51" s="215">
        <v>1061801.6</v>
      </c>
    </row>
    <row r="52" spans="1:15" ht="12.75">
      <c r="A52" s="246"/>
      <c r="B52" s="206" t="s">
        <v>92</v>
      </c>
      <c r="C52" s="214">
        <v>72350.18999999999</v>
      </c>
      <c r="D52" s="192">
        <v>61388.03999999999</v>
      </c>
      <c r="E52" s="192">
        <v>49695.079999999994</v>
      </c>
      <c r="F52" s="192">
        <v>54079.939999999995</v>
      </c>
      <c r="G52" s="192">
        <v>100851.78</v>
      </c>
      <c r="H52" s="192">
        <v>108890.68999999999</v>
      </c>
      <c r="I52" s="192">
        <v>116929.59999999999</v>
      </c>
      <c r="J52" s="192">
        <v>104505.82999999999</v>
      </c>
      <c r="K52" s="192">
        <v>95005.29999999999</v>
      </c>
      <c r="L52" s="192">
        <v>85504.76999999999</v>
      </c>
      <c r="M52" s="192">
        <v>54079.939999999995</v>
      </c>
      <c r="N52" s="192">
        <v>55541.56</v>
      </c>
      <c r="O52" s="215">
        <v>958822.72</v>
      </c>
    </row>
    <row r="53" spans="1:15" ht="12.75">
      <c r="A53" s="246"/>
      <c r="B53" s="206" t="s">
        <v>94</v>
      </c>
      <c r="C53" s="214">
        <v>-7770.510000000009</v>
      </c>
      <c r="D53" s="192">
        <v>-6593.1600000000035</v>
      </c>
      <c r="E53" s="192">
        <v>-5337.32</v>
      </c>
      <c r="F53" s="192">
        <v>-5808.260000000002</v>
      </c>
      <c r="G53" s="192">
        <v>-10831.619999999995</v>
      </c>
      <c r="H53" s="192">
        <v>-11695.01000000001</v>
      </c>
      <c r="I53" s="192">
        <v>-12558.400000000009</v>
      </c>
      <c r="J53" s="192">
        <v>-11224.070000000007</v>
      </c>
      <c r="K53" s="192">
        <v>-10203.700000000012</v>
      </c>
      <c r="L53" s="192">
        <v>-9183.330000000002</v>
      </c>
      <c r="M53" s="192">
        <v>-5808.260000000002</v>
      </c>
      <c r="N53" s="192">
        <v>-5965.239999999998</v>
      </c>
      <c r="O53" s="215">
        <v>-102978.88000000003</v>
      </c>
    </row>
    <row r="54" spans="1:15" ht="12.75">
      <c r="A54" s="199" t="s">
        <v>21</v>
      </c>
      <c r="B54" s="199" t="s">
        <v>72</v>
      </c>
      <c r="C54" s="208">
        <v>1986684.2600000002</v>
      </c>
      <c r="D54" s="209">
        <v>1743582.6</v>
      </c>
      <c r="E54" s="209">
        <v>1417988.86</v>
      </c>
      <c r="F54" s="209">
        <v>1485482.3800000001</v>
      </c>
      <c r="G54" s="209">
        <v>2247909.18</v>
      </c>
      <c r="H54" s="209">
        <v>2444140.3400000003</v>
      </c>
      <c r="I54" s="209">
        <v>2559129.3000000003</v>
      </c>
      <c r="J54" s="209">
        <v>2384771.04</v>
      </c>
      <c r="K54" s="209">
        <v>2334150.9000000004</v>
      </c>
      <c r="L54" s="209">
        <v>2097923.58</v>
      </c>
      <c r="M54" s="209">
        <v>1602346.1600000001</v>
      </c>
      <c r="N54" s="209">
        <v>1611095.32</v>
      </c>
      <c r="O54" s="210">
        <v>23915203.919999998</v>
      </c>
    </row>
    <row r="55" spans="1:15" ht="12.75">
      <c r="A55" s="246"/>
      <c r="B55" s="206" t="s">
        <v>25</v>
      </c>
      <c r="C55" s="211">
        <v>-586080.4399999995</v>
      </c>
      <c r="D55" s="212">
        <v>-514364.3999999999</v>
      </c>
      <c r="E55" s="212">
        <v>-418312.83999999985</v>
      </c>
      <c r="F55" s="212">
        <v>-438223.71999999974</v>
      </c>
      <c r="G55" s="212">
        <v>-663142.9199999995</v>
      </c>
      <c r="H55" s="212">
        <v>-721031.9599999995</v>
      </c>
      <c r="I55" s="212">
        <v>-754954.1999999997</v>
      </c>
      <c r="J55" s="212">
        <v>-703517.7599999998</v>
      </c>
      <c r="K55" s="212">
        <v>-688584.5999999996</v>
      </c>
      <c r="L55" s="212">
        <v>-618896.5199999996</v>
      </c>
      <c r="M55" s="212">
        <v>-472699.0399999998</v>
      </c>
      <c r="N55" s="212">
        <v>-475280.07999999984</v>
      </c>
      <c r="O55" s="213">
        <v>-7055088.479999997</v>
      </c>
    </row>
    <row r="56" spans="1:15" ht="12.75">
      <c r="A56" s="246"/>
      <c r="B56" s="206" t="s">
        <v>26</v>
      </c>
      <c r="C56" s="211">
        <v>-28913.399400659506</v>
      </c>
      <c r="D56" s="212">
        <v>-25375.396139616238</v>
      </c>
      <c r="E56" s="212">
        <v>-20636.836502074995</v>
      </c>
      <c r="F56" s="212">
        <v>-21619.109901027885</v>
      </c>
      <c r="G56" s="212">
        <v>-32715.16125956975</v>
      </c>
      <c r="H56" s="212">
        <v>-35571.03021578462</v>
      </c>
      <c r="I56" s="212">
        <v>-37244.53304363028</v>
      </c>
      <c r="J56" s="212">
        <v>-34706.993429668655</v>
      </c>
      <c r="K56" s="212">
        <v>-33970.288380453996</v>
      </c>
      <c r="L56" s="212">
        <v>-30532.331484118888</v>
      </c>
      <c r="M56" s="212">
        <v>-23319.89810106668</v>
      </c>
      <c r="N56" s="212">
        <v>-23447.229837967978</v>
      </c>
      <c r="O56" s="213">
        <v>-348052.20769563946</v>
      </c>
    </row>
    <row r="57" spans="1:15" ht="12.75">
      <c r="A57" s="246"/>
      <c r="B57" s="206" t="s">
        <v>27</v>
      </c>
      <c r="C57" s="211">
        <v>-365474.129400659</v>
      </c>
      <c r="D57" s="212">
        <v>-320752.6961396161</v>
      </c>
      <c r="E57" s="212">
        <v>-260855.86650207482</v>
      </c>
      <c r="F57" s="212">
        <v>-273272.0999010276</v>
      </c>
      <c r="G57" s="212">
        <v>-413529.55125956936</v>
      </c>
      <c r="H57" s="212">
        <v>-449628.60021578404</v>
      </c>
      <c r="I57" s="212">
        <v>-470782.18304362975</v>
      </c>
      <c r="J57" s="212">
        <v>-438706.91342966864</v>
      </c>
      <c r="K57" s="212">
        <v>-429394.7383804532</v>
      </c>
      <c r="L57" s="212">
        <v>-385937.9214841188</v>
      </c>
      <c r="M57" s="212">
        <v>-294770.5781010664</v>
      </c>
      <c r="N57" s="212">
        <v>-296380.0898379678</v>
      </c>
      <c r="O57" s="213">
        <v>-4399485.367695635</v>
      </c>
    </row>
    <row r="58" spans="1:15" ht="12.75">
      <c r="A58" s="246"/>
      <c r="B58" s="206" t="s">
        <v>51</v>
      </c>
      <c r="C58" s="214">
        <v>2572764.6999999997</v>
      </c>
      <c r="D58" s="192">
        <v>2257947</v>
      </c>
      <c r="E58" s="192">
        <v>1836301.7</v>
      </c>
      <c r="F58" s="192">
        <v>1923706.0999999999</v>
      </c>
      <c r="G58" s="192">
        <v>2911052.0999999996</v>
      </c>
      <c r="H58" s="192">
        <v>3165172.3</v>
      </c>
      <c r="I58" s="192">
        <v>3314083.5</v>
      </c>
      <c r="J58" s="192">
        <v>3088288.8</v>
      </c>
      <c r="K58" s="192">
        <v>3022735.5</v>
      </c>
      <c r="L58" s="192">
        <v>2716820.0999999996</v>
      </c>
      <c r="M58" s="192">
        <v>2075045.2</v>
      </c>
      <c r="N58" s="192">
        <v>2086375.4</v>
      </c>
      <c r="O58" s="215">
        <v>30970292.399999995</v>
      </c>
    </row>
    <row r="59" spans="1:15" ht="12.75">
      <c r="A59" s="246"/>
      <c r="B59" s="206" t="s">
        <v>92</v>
      </c>
      <c r="C59" s="214">
        <v>2323244.9899999998</v>
      </c>
      <c r="D59" s="192">
        <v>2038959.9</v>
      </c>
      <c r="E59" s="192">
        <v>1658207.89</v>
      </c>
      <c r="F59" s="192">
        <v>1737135.3699999999</v>
      </c>
      <c r="G59" s="192">
        <v>2628723.57</v>
      </c>
      <c r="H59" s="192">
        <v>2858197.9099999997</v>
      </c>
      <c r="I59" s="192">
        <v>2992666.9499999997</v>
      </c>
      <c r="J59" s="192">
        <v>2788770.96</v>
      </c>
      <c r="K59" s="192">
        <v>2729575.3499999996</v>
      </c>
      <c r="L59" s="192">
        <v>2453329.17</v>
      </c>
      <c r="M59" s="192">
        <v>1873796.8399999999</v>
      </c>
      <c r="N59" s="192">
        <v>1884028.18</v>
      </c>
      <c r="O59" s="215">
        <v>27966637.080000002</v>
      </c>
    </row>
    <row r="60" spans="1:15" ht="12.75">
      <c r="A60" s="246"/>
      <c r="B60" s="206" t="s">
        <v>94</v>
      </c>
      <c r="C60" s="214">
        <v>-249519.70999999996</v>
      </c>
      <c r="D60" s="192">
        <v>-218987.1000000001</v>
      </c>
      <c r="E60" s="192">
        <v>-178093.81000000006</v>
      </c>
      <c r="F60" s="192">
        <v>-186570.72999999998</v>
      </c>
      <c r="G60" s="192">
        <v>-282328.5299999998</v>
      </c>
      <c r="H60" s="192">
        <v>-306974.39000000013</v>
      </c>
      <c r="I60" s="192">
        <v>-321416.5500000003</v>
      </c>
      <c r="J60" s="192">
        <v>-299517.83999999985</v>
      </c>
      <c r="K60" s="192">
        <v>-293160.1500000004</v>
      </c>
      <c r="L60" s="192">
        <v>-263490.9299999997</v>
      </c>
      <c r="M60" s="192">
        <v>-201248.3600000001</v>
      </c>
      <c r="N60" s="192">
        <v>-202347.21999999997</v>
      </c>
      <c r="O60" s="215">
        <v>-3003655.3200000003</v>
      </c>
    </row>
    <row r="61" spans="1:15" ht="12.75">
      <c r="A61" s="199" t="s">
        <v>22</v>
      </c>
      <c r="B61" s="199" t="s">
        <v>72</v>
      </c>
      <c r="C61" s="208">
        <v>2131045.4000000004</v>
      </c>
      <c r="D61" s="209">
        <v>1744832.4800000002</v>
      </c>
      <c r="E61" s="209">
        <v>1454860.32</v>
      </c>
      <c r="F61" s="209">
        <v>1444861.28</v>
      </c>
      <c r="G61" s="209">
        <v>2106047.8000000003</v>
      </c>
      <c r="H61" s="209">
        <v>2226661.22</v>
      </c>
      <c r="I61" s="209">
        <v>2303528.8400000003</v>
      </c>
      <c r="J61" s="209">
        <v>2164167.22</v>
      </c>
      <c r="K61" s="209">
        <v>2159792.64</v>
      </c>
      <c r="L61" s="209">
        <v>1971685.7000000002</v>
      </c>
      <c r="M61" s="209">
        <v>1817325.5200000003</v>
      </c>
      <c r="N61" s="209">
        <v>1794827.6800000002</v>
      </c>
      <c r="O61" s="210">
        <v>23319636.1</v>
      </c>
    </row>
    <row r="62" spans="1:15" ht="12.75">
      <c r="A62" s="246"/>
      <c r="B62" s="206" t="s">
        <v>25</v>
      </c>
      <c r="C62" s="211">
        <v>-628667.5999999996</v>
      </c>
      <c r="D62" s="212">
        <v>-514733.1199999999</v>
      </c>
      <c r="E62" s="212">
        <v>-429190.07999999984</v>
      </c>
      <c r="F62" s="212">
        <v>-426240.31999999983</v>
      </c>
      <c r="G62" s="212">
        <v>-621293.1999999997</v>
      </c>
      <c r="H62" s="212">
        <v>-656874.6799999997</v>
      </c>
      <c r="I62" s="212">
        <v>-679550.9599999995</v>
      </c>
      <c r="J62" s="212">
        <v>-638438.6799999997</v>
      </c>
      <c r="K62" s="212">
        <v>-637148.1599999997</v>
      </c>
      <c r="L62" s="212">
        <v>-581655.7999999998</v>
      </c>
      <c r="M62" s="212">
        <v>-536118.8799999997</v>
      </c>
      <c r="N62" s="212">
        <v>-529481.9199999999</v>
      </c>
      <c r="O62" s="213">
        <v>-6879393.399999997</v>
      </c>
    </row>
    <row r="63" spans="1:15" ht="12.75">
      <c r="A63" s="246"/>
      <c r="B63" s="206" t="s">
        <v>26</v>
      </c>
      <c r="C63" s="211">
        <v>-31014.37305953096</v>
      </c>
      <c r="D63" s="212">
        <v>-25393.586387744992</v>
      </c>
      <c r="E63" s="212">
        <v>-21173.448821873335</v>
      </c>
      <c r="F63" s="212">
        <v>-21027.926836843275</v>
      </c>
      <c r="G63" s="212">
        <v>-30650.568096955816</v>
      </c>
      <c r="H63" s="212">
        <v>-32405.927041380877</v>
      </c>
      <c r="I63" s="212">
        <v>-33524.62730129944</v>
      </c>
      <c r="J63" s="212">
        <v>-31496.414634943023</v>
      </c>
      <c r="K63" s="212">
        <v>-31432.748766492372</v>
      </c>
      <c r="L63" s="212">
        <v>-28695.116423114418</v>
      </c>
      <c r="M63" s="212">
        <v>-26448.62077921291</v>
      </c>
      <c r="N63" s="212">
        <v>-26121.19631289528</v>
      </c>
      <c r="O63" s="213">
        <v>-339384.5544622867</v>
      </c>
    </row>
    <row r="64" spans="1:15" ht="12.75">
      <c r="A64" s="246"/>
      <c r="B64" s="206" t="s">
        <v>27</v>
      </c>
      <c r="C64" s="211">
        <v>-392031.07305953023</v>
      </c>
      <c r="D64" s="212">
        <v>-320982.62638774456</v>
      </c>
      <c r="E64" s="212">
        <v>-267638.8088218732</v>
      </c>
      <c r="F64" s="212">
        <v>-265799.3668368432</v>
      </c>
      <c r="G64" s="212">
        <v>-387432.4680969552</v>
      </c>
      <c r="H64" s="212">
        <v>-409620.7370413805</v>
      </c>
      <c r="I64" s="212">
        <v>-423761.44730129885</v>
      </c>
      <c r="J64" s="212">
        <v>-398124.2246349426</v>
      </c>
      <c r="K64" s="212">
        <v>-397319.4687664921</v>
      </c>
      <c r="L64" s="212">
        <v>-362714.96642311406</v>
      </c>
      <c r="M64" s="212">
        <v>-334318.58077921264</v>
      </c>
      <c r="N64" s="212">
        <v>-330179.83631289494</v>
      </c>
      <c r="O64" s="213">
        <v>-4289923.604462281</v>
      </c>
    </row>
    <row r="65" spans="1:15" ht="12.75">
      <c r="A65" s="246"/>
      <c r="B65" s="206" t="s">
        <v>51</v>
      </c>
      <c r="C65" s="214">
        <v>2759713</v>
      </c>
      <c r="D65" s="192">
        <v>2259565.6</v>
      </c>
      <c r="E65" s="192">
        <v>1884050.4</v>
      </c>
      <c r="F65" s="192">
        <v>1871101.5999999999</v>
      </c>
      <c r="G65" s="192">
        <v>2727341</v>
      </c>
      <c r="H65" s="192">
        <v>2883535.9</v>
      </c>
      <c r="I65" s="192">
        <v>2983079.8</v>
      </c>
      <c r="J65" s="192">
        <v>2802605.9</v>
      </c>
      <c r="K65" s="192">
        <v>2796940.8</v>
      </c>
      <c r="L65" s="192">
        <v>2553341.5</v>
      </c>
      <c r="M65" s="192">
        <v>2353444.4</v>
      </c>
      <c r="N65" s="192">
        <v>2324309.6</v>
      </c>
      <c r="O65" s="215">
        <v>30199029.5</v>
      </c>
    </row>
    <row r="66" spans="1:15" ht="12.75">
      <c r="A66" s="246"/>
      <c r="B66" s="206" t="s">
        <v>92</v>
      </c>
      <c r="C66" s="214">
        <v>2492062.0999999996</v>
      </c>
      <c r="D66" s="192">
        <v>2040421.5199999998</v>
      </c>
      <c r="E66" s="192">
        <v>1701325.68</v>
      </c>
      <c r="F66" s="192">
        <v>1689632.72</v>
      </c>
      <c r="G66" s="192">
        <v>2462829.6999999997</v>
      </c>
      <c r="H66" s="192">
        <v>2603876.03</v>
      </c>
      <c r="I66" s="192">
        <v>2693765.6599999997</v>
      </c>
      <c r="J66" s="192">
        <v>2530795.03</v>
      </c>
      <c r="K66" s="192">
        <v>2525679.36</v>
      </c>
      <c r="L66" s="192">
        <v>2305705.55</v>
      </c>
      <c r="M66" s="192">
        <v>2125195.48</v>
      </c>
      <c r="N66" s="192">
        <v>2098886.32</v>
      </c>
      <c r="O66" s="215">
        <v>27270175.15</v>
      </c>
    </row>
    <row r="67" spans="1:15" ht="12.75">
      <c r="A67" s="246"/>
      <c r="B67" s="206" t="s">
        <v>94</v>
      </c>
      <c r="C67" s="214">
        <v>-267650.9000000004</v>
      </c>
      <c r="D67" s="192">
        <v>-219144.0800000003</v>
      </c>
      <c r="E67" s="192">
        <v>-182724.71999999997</v>
      </c>
      <c r="F67" s="192">
        <v>-181468.8799999999</v>
      </c>
      <c r="G67" s="192">
        <v>-264511.3000000003</v>
      </c>
      <c r="H67" s="192">
        <v>-279659.8700000001</v>
      </c>
      <c r="I67" s="192">
        <v>-289314.14000000013</v>
      </c>
      <c r="J67" s="192">
        <v>-271810.8700000001</v>
      </c>
      <c r="K67" s="192">
        <v>-271261.43999999994</v>
      </c>
      <c r="L67" s="192">
        <v>-247635.9500000002</v>
      </c>
      <c r="M67" s="192">
        <v>-228248.91999999993</v>
      </c>
      <c r="N67" s="192">
        <v>-225423.28000000026</v>
      </c>
      <c r="O67" s="215">
        <v>-2928854.3500000015</v>
      </c>
    </row>
    <row r="68" spans="1:15" ht="12.75">
      <c r="A68" s="199" t="s">
        <v>9</v>
      </c>
      <c r="B68" s="199" t="s">
        <v>72</v>
      </c>
      <c r="C68" s="208">
        <v>29372.180000000004</v>
      </c>
      <c r="D68" s="209">
        <v>25622.54</v>
      </c>
      <c r="E68" s="209">
        <v>21247.960000000003</v>
      </c>
      <c r="F68" s="209">
        <v>14373.62</v>
      </c>
      <c r="G68" s="209">
        <v>22497.840000000004</v>
      </c>
      <c r="H68" s="209">
        <v>23747.72</v>
      </c>
      <c r="I68" s="209">
        <v>26247.480000000003</v>
      </c>
      <c r="J68" s="209">
        <v>23122.780000000002</v>
      </c>
      <c r="K68" s="209">
        <v>22497.840000000004</v>
      </c>
      <c r="L68" s="209">
        <v>20623.02</v>
      </c>
      <c r="M68" s="209">
        <v>22497.840000000004</v>
      </c>
      <c r="N68" s="209">
        <v>23747.72</v>
      </c>
      <c r="O68" s="210">
        <v>275598.54000000004</v>
      </c>
    </row>
    <row r="69" spans="1:15" ht="12.75">
      <c r="A69" s="246"/>
      <c r="B69" s="206" t="s">
        <v>25</v>
      </c>
      <c r="C69" s="211">
        <v>-8664.919999999995</v>
      </c>
      <c r="D69" s="212">
        <v>-7558.759999999995</v>
      </c>
      <c r="E69" s="212">
        <v>-6268.239999999994</v>
      </c>
      <c r="F69" s="212">
        <v>-4240.279999999997</v>
      </c>
      <c r="G69" s="212">
        <v>-6636.9599999999955</v>
      </c>
      <c r="H69" s="212">
        <v>-7005.679999999997</v>
      </c>
      <c r="I69" s="212">
        <v>-7743.119999999995</v>
      </c>
      <c r="J69" s="212">
        <v>-6821.319999999996</v>
      </c>
      <c r="K69" s="212">
        <v>-6636.9599999999955</v>
      </c>
      <c r="L69" s="212">
        <v>-6083.879999999997</v>
      </c>
      <c r="M69" s="212">
        <v>-6636.9599999999955</v>
      </c>
      <c r="N69" s="212">
        <v>-7005.679999999997</v>
      </c>
      <c r="O69" s="213">
        <v>-81302.75999999992</v>
      </c>
    </row>
    <row r="70" spans="1:15" ht="12.75">
      <c r="A70" s="246"/>
      <c r="B70" s="206" t="s">
        <v>26</v>
      </c>
      <c r="C70" s="211">
        <v>-427.47083102579325</v>
      </c>
      <c r="D70" s="212">
        <v>-372.90008663952176</v>
      </c>
      <c r="E70" s="212">
        <v>-309.2342181888717</v>
      </c>
      <c r="F70" s="212">
        <v>-209.18785348070733</v>
      </c>
      <c r="G70" s="212">
        <v>-327.42446631762886</v>
      </c>
      <c r="H70" s="212">
        <v>-345.614714446386</v>
      </c>
      <c r="I70" s="212">
        <v>-381.99521070390034</v>
      </c>
      <c r="J70" s="212">
        <v>-336.51959038200744</v>
      </c>
      <c r="K70" s="212">
        <v>-327.42446631762886</v>
      </c>
      <c r="L70" s="212">
        <v>-300.1390941244931</v>
      </c>
      <c r="M70" s="212">
        <v>-327.42446631762886</v>
      </c>
      <c r="N70" s="212">
        <v>-345.614714446386</v>
      </c>
      <c r="O70" s="213">
        <v>-4010.949712390953</v>
      </c>
    </row>
    <row r="71" spans="1:15" ht="12.75">
      <c r="A71" s="246"/>
      <c r="B71" s="206" t="s">
        <v>27</v>
      </c>
      <c r="C71" s="211">
        <v>-5403.36083102579</v>
      </c>
      <c r="D71" s="212">
        <v>-4713.57008663952</v>
      </c>
      <c r="E71" s="212">
        <v>-3908.814218188866</v>
      </c>
      <c r="F71" s="212">
        <v>-2644.197853480704</v>
      </c>
      <c r="G71" s="212">
        <v>-4138.744466317621</v>
      </c>
      <c r="H71" s="212">
        <v>-4368.674714446383</v>
      </c>
      <c r="I71" s="212">
        <v>-4828.535210703894</v>
      </c>
      <c r="J71" s="212">
        <v>-4253.709590382003</v>
      </c>
      <c r="K71" s="212">
        <v>-4138.744466317621</v>
      </c>
      <c r="L71" s="212">
        <v>-3793.8490941244927</v>
      </c>
      <c r="M71" s="212">
        <v>-4138.744466317621</v>
      </c>
      <c r="N71" s="212">
        <v>-4368.674714446383</v>
      </c>
      <c r="O71" s="213">
        <v>-50699.61971239089</v>
      </c>
    </row>
    <row r="72" spans="1:15" ht="12.75">
      <c r="A72" s="246"/>
      <c r="B72" s="206" t="s">
        <v>51</v>
      </c>
      <c r="C72" s="214">
        <v>38037.1</v>
      </c>
      <c r="D72" s="192">
        <v>33181.299999999996</v>
      </c>
      <c r="E72" s="192">
        <v>27516.199999999997</v>
      </c>
      <c r="F72" s="192">
        <v>18613.899999999998</v>
      </c>
      <c r="G72" s="192">
        <v>29134.8</v>
      </c>
      <c r="H72" s="192">
        <v>30753.399999999998</v>
      </c>
      <c r="I72" s="192">
        <v>33990.6</v>
      </c>
      <c r="J72" s="192">
        <v>29944.1</v>
      </c>
      <c r="K72" s="192">
        <v>29134.8</v>
      </c>
      <c r="L72" s="192">
        <v>26706.899999999998</v>
      </c>
      <c r="M72" s="192">
        <v>29134.8</v>
      </c>
      <c r="N72" s="192">
        <v>30753.399999999998</v>
      </c>
      <c r="O72" s="215">
        <v>356901.30000000005</v>
      </c>
    </row>
    <row r="73" spans="1:15" ht="12.75">
      <c r="A73" s="246"/>
      <c r="B73" s="206" t="s">
        <v>92</v>
      </c>
      <c r="C73" s="214">
        <v>34348.07</v>
      </c>
      <c r="D73" s="192">
        <v>29963.21</v>
      </c>
      <c r="E73" s="192">
        <v>24847.539999999997</v>
      </c>
      <c r="F73" s="192">
        <v>16808.629999999997</v>
      </c>
      <c r="G73" s="192">
        <v>26309.159999999996</v>
      </c>
      <c r="H73" s="192">
        <v>27770.78</v>
      </c>
      <c r="I73" s="192">
        <v>30694.019999999997</v>
      </c>
      <c r="J73" s="192">
        <v>27039.969999999998</v>
      </c>
      <c r="K73" s="192">
        <v>26309.159999999996</v>
      </c>
      <c r="L73" s="192">
        <v>24116.73</v>
      </c>
      <c r="M73" s="192">
        <v>26309.159999999996</v>
      </c>
      <c r="N73" s="192">
        <v>27770.78</v>
      </c>
      <c r="O73" s="215">
        <v>322287.20999999996</v>
      </c>
    </row>
    <row r="74" spans="1:15" ht="12.75">
      <c r="A74" s="246"/>
      <c r="B74" s="206" t="s">
        <v>94</v>
      </c>
      <c r="C74" s="214">
        <v>-3689.029999999999</v>
      </c>
      <c r="D74" s="192">
        <v>-3218.0899999999965</v>
      </c>
      <c r="E74" s="192">
        <v>-2668.66</v>
      </c>
      <c r="F74" s="192">
        <v>-1805.2700000000004</v>
      </c>
      <c r="G74" s="192">
        <v>-2825.640000000003</v>
      </c>
      <c r="H74" s="192">
        <v>-2982.619999999999</v>
      </c>
      <c r="I74" s="192">
        <v>-3296.5800000000017</v>
      </c>
      <c r="J74" s="192">
        <v>-2904.130000000001</v>
      </c>
      <c r="K74" s="192">
        <v>-2825.640000000003</v>
      </c>
      <c r="L74" s="192">
        <v>-2590.1699999999983</v>
      </c>
      <c r="M74" s="192">
        <v>-2825.640000000003</v>
      </c>
      <c r="N74" s="192">
        <v>-2982.619999999999</v>
      </c>
      <c r="O74" s="215">
        <v>-34614.090000000004</v>
      </c>
    </row>
    <row r="75" spans="1:15" ht="12.75">
      <c r="A75" s="199" t="s">
        <v>56</v>
      </c>
      <c r="B75" s="199" t="s">
        <v>72</v>
      </c>
      <c r="C75" s="208">
        <v>78742.44</v>
      </c>
      <c r="D75" s="209">
        <v>64368.82000000001</v>
      </c>
      <c r="E75" s="209">
        <v>57494.48</v>
      </c>
      <c r="F75" s="209">
        <v>53744.840000000004</v>
      </c>
      <c r="G75" s="209">
        <v>86866.66</v>
      </c>
      <c r="H75" s="209">
        <v>98740.52</v>
      </c>
      <c r="I75" s="209">
        <v>101240.28000000001</v>
      </c>
      <c r="J75" s="209">
        <v>89991.36000000002</v>
      </c>
      <c r="K75" s="209">
        <v>93741.00000000001</v>
      </c>
      <c r="L75" s="209">
        <v>76867.62000000001</v>
      </c>
      <c r="M75" s="209">
        <v>63743.880000000005</v>
      </c>
      <c r="N75" s="209">
        <v>64368.82000000001</v>
      </c>
      <c r="O75" s="210">
        <v>929910.72</v>
      </c>
    </row>
    <row r="76" spans="1:15" ht="12.75">
      <c r="A76" s="246"/>
      <c r="B76" s="206" t="s">
        <v>25</v>
      </c>
      <c r="C76" s="214">
        <v>-23229.359999999986</v>
      </c>
      <c r="D76" s="192">
        <v>-18989.079999999987</v>
      </c>
      <c r="E76" s="192">
        <v>-16961.119999999988</v>
      </c>
      <c r="F76" s="192">
        <v>-15854.96</v>
      </c>
      <c r="G76" s="192">
        <v>-25626.039999999994</v>
      </c>
      <c r="H76" s="192">
        <v>-29128.87999999999</v>
      </c>
      <c r="I76" s="192">
        <v>-29866.319999999992</v>
      </c>
      <c r="J76" s="192">
        <v>-26547.839999999982</v>
      </c>
      <c r="K76" s="192">
        <v>-27653.999999999985</v>
      </c>
      <c r="L76" s="192">
        <v>-22676.279999999984</v>
      </c>
      <c r="M76" s="192">
        <v>-18804.719999999987</v>
      </c>
      <c r="N76" s="192">
        <v>-18989.079999999987</v>
      </c>
      <c r="O76" s="215">
        <v>-274327.6799999998</v>
      </c>
    </row>
    <row r="77" spans="1:15" ht="12.75">
      <c r="A77" s="246"/>
      <c r="B77" s="206" t="s">
        <v>26</v>
      </c>
      <c r="C77" s="214">
        <v>-1145.985632111701</v>
      </c>
      <c r="D77" s="192">
        <v>-936.7977786309937</v>
      </c>
      <c r="E77" s="192">
        <v>-836.7514139228293</v>
      </c>
      <c r="F77" s="192">
        <v>-782.1806695365578</v>
      </c>
      <c r="G77" s="192">
        <v>-1264.2222449486226</v>
      </c>
      <c r="H77" s="192">
        <v>-1437.0296021718157</v>
      </c>
      <c r="I77" s="192">
        <v>-1473.41009842933</v>
      </c>
      <c r="J77" s="192">
        <v>-1309.6978652705154</v>
      </c>
      <c r="K77" s="192">
        <v>-1364.268609656787</v>
      </c>
      <c r="L77" s="192">
        <v>-1118.7002599185653</v>
      </c>
      <c r="M77" s="192">
        <v>-927.7026545666151</v>
      </c>
      <c r="N77" s="192">
        <v>-936.7977786309937</v>
      </c>
      <c r="O77" s="215">
        <v>-13533.544607795326</v>
      </c>
    </row>
    <row r="78" spans="1:15" ht="12.75">
      <c r="A78" s="246"/>
      <c r="B78" s="206" t="s">
        <v>27</v>
      </c>
      <c r="C78" s="214">
        <v>-14485.605632111696</v>
      </c>
      <c r="D78" s="192">
        <v>-11841.407778630979</v>
      </c>
      <c r="E78" s="192">
        <v>-10576.791413922816</v>
      </c>
      <c r="F78" s="192">
        <v>-9887.000669536552</v>
      </c>
      <c r="G78" s="192">
        <v>-15980.152244948615</v>
      </c>
      <c r="H78" s="192">
        <v>-18164.48960217181</v>
      </c>
      <c r="I78" s="192">
        <v>-18624.350098429302</v>
      </c>
      <c r="J78" s="192">
        <v>-16554.977865270484</v>
      </c>
      <c r="K78" s="192">
        <v>-17244.76860965676</v>
      </c>
      <c r="L78" s="192">
        <v>-14140.710259918545</v>
      </c>
      <c r="M78" s="192">
        <v>-11726.442654566607</v>
      </c>
      <c r="N78" s="192">
        <v>-11841.407778630979</v>
      </c>
      <c r="O78" s="215">
        <v>-171068.10460779513</v>
      </c>
    </row>
    <row r="79" spans="1:15" ht="12.75">
      <c r="A79" s="246"/>
      <c r="B79" s="206" t="s">
        <v>51</v>
      </c>
      <c r="C79" s="214">
        <v>101971.79999999999</v>
      </c>
      <c r="D79" s="192">
        <v>83357.9</v>
      </c>
      <c r="E79" s="192">
        <v>74455.59999999999</v>
      </c>
      <c r="F79" s="192">
        <v>69599.8</v>
      </c>
      <c r="G79" s="192">
        <v>112492.7</v>
      </c>
      <c r="H79" s="192">
        <v>127869.4</v>
      </c>
      <c r="I79" s="192">
        <v>131106.6</v>
      </c>
      <c r="J79" s="192">
        <v>116539.2</v>
      </c>
      <c r="K79" s="192">
        <v>121395</v>
      </c>
      <c r="L79" s="192">
        <v>99543.9</v>
      </c>
      <c r="M79" s="192">
        <v>82548.59999999999</v>
      </c>
      <c r="N79" s="192">
        <v>83357.9</v>
      </c>
      <c r="O79" s="215">
        <v>1204238.4</v>
      </c>
    </row>
    <row r="80" spans="1:15" ht="12.75">
      <c r="A80" s="246"/>
      <c r="B80" s="206" t="s">
        <v>92</v>
      </c>
      <c r="C80" s="214">
        <v>92082.06</v>
      </c>
      <c r="D80" s="192">
        <v>75273.43</v>
      </c>
      <c r="E80" s="192">
        <v>67234.51999999999</v>
      </c>
      <c r="F80" s="192">
        <v>62849.659999999996</v>
      </c>
      <c r="G80" s="192">
        <v>101582.59</v>
      </c>
      <c r="H80" s="192">
        <v>115467.98</v>
      </c>
      <c r="I80" s="192">
        <v>118391.21999999999</v>
      </c>
      <c r="J80" s="192">
        <v>105236.63999999998</v>
      </c>
      <c r="K80" s="192">
        <v>109621.49999999999</v>
      </c>
      <c r="L80" s="192">
        <v>89889.62999999999</v>
      </c>
      <c r="M80" s="192">
        <v>74542.62</v>
      </c>
      <c r="N80" s="192">
        <v>75273.43</v>
      </c>
      <c r="O80" s="215">
        <v>1087445.28</v>
      </c>
    </row>
    <row r="81" spans="1:15" ht="12.75">
      <c r="A81" s="246"/>
      <c r="B81" s="206" t="s">
        <v>94</v>
      </c>
      <c r="C81" s="214">
        <v>-9889.73999999999</v>
      </c>
      <c r="D81" s="192">
        <v>-8084.470000000001</v>
      </c>
      <c r="E81" s="192">
        <v>-7221.080000000002</v>
      </c>
      <c r="F81" s="192">
        <v>-6750.140000000007</v>
      </c>
      <c r="G81" s="192">
        <v>-10910.11</v>
      </c>
      <c r="H81" s="192">
        <v>-12401.419999999998</v>
      </c>
      <c r="I81" s="192">
        <v>-12715.38000000002</v>
      </c>
      <c r="J81" s="192">
        <v>-11302.560000000012</v>
      </c>
      <c r="K81" s="192">
        <v>-11773.500000000015</v>
      </c>
      <c r="L81" s="192">
        <v>-9654.270000000004</v>
      </c>
      <c r="M81" s="192">
        <v>-8005.979999999996</v>
      </c>
      <c r="N81" s="192">
        <v>-8084.470000000001</v>
      </c>
      <c r="O81" s="215">
        <v>-116793.12000000005</v>
      </c>
    </row>
    <row r="82" spans="1:15" ht="12.75">
      <c r="A82" s="199" t="s">
        <v>57</v>
      </c>
      <c r="B82" s="199" t="s">
        <v>72</v>
      </c>
      <c r="C82" s="208">
        <v>5624.460000000001</v>
      </c>
      <c r="D82" s="209">
        <v>5624.460000000001</v>
      </c>
      <c r="E82" s="209">
        <v>5624.460000000001</v>
      </c>
      <c r="F82" s="209">
        <v>6249.400000000001</v>
      </c>
      <c r="G82" s="209">
        <v>5624.460000000001</v>
      </c>
      <c r="H82" s="209">
        <v>8749.16</v>
      </c>
      <c r="I82" s="209">
        <v>9374.1</v>
      </c>
      <c r="J82" s="209">
        <v>8749.16</v>
      </c>
      <c r="K82" s="209">
        <v>8124.220000000001</v>
      </c>
      <c r="L82" s="209">
        <v>8124.220000000001</v>
      </c>
      <c r="M82" s="209">
        <v>3124.7000000000003</v>
      </c>
      <c r="N82" s="209">
        <v>6874.34</v>
      </c>
      <c r="O82" s="210">
        <v>81867.14</v>
      </c>
    </row>
    <row r="83" spans="1:15" ht="12.75">
      <c r="A83" s="246"/>
      <c r="B83" s="206" t="s">
        <v>25</v>
      </c>
      <c r="C83" s="214">
        <v>-1659.2399999999989</v>
      </c>
      <c r="D83" s="192">
        <v>-1659.2399999999989</v>
      </c>
      <c r="E83" s="192">
        <v>-1659.2399999999989</v>
      </c>
      <c r="F83" s="192">
        <v>-1843.5999999999995</v>
      </c>
      <c r="G83" s="192">
        <v>-1659.2399999999989</v>
      </c>
      <c r="H83" s="192">
        <v>-2581.039999999999</v>
      </c>
      <c r="I83" s="192">
        <v>-2765.3999999999996</v>
      </c>
      <c r="J83" s="192">
        <v>-2581.039999999999</v>
      </c>
      <c r="K83" s="192">
        <v>-2396.6799999999985</v>
      </c>
      <c r="L83" s="192">
        <v>-2396.6799999999985</v>
      </c>
      <c r="M83" s="192">
        <v>-921.7999999999997</v>
      </c>
      <c r="N83" s="192">
        <v>-2027.9599999999991</v>
      </c>
      <c r="O83" s="215">
        <v>-24151.159999999993</v>
      </c>
    </row>
    <row r="84" spans="1:15" ht="12.75">
      <c r="A84" s="246"/>
      <c r="B84" s="206" t="s">
        <v>26</v>
      </c>
      <c r="C84" s="214">
        <v>-81.85611657940721</v>
      </c>
      <c r="D84" s="192">
        <v>-81.85611657940721</v>
      </c>
      <c r="E84" s="192">
        <v>-81.85611657940721</v>
      </c>
      <c r="F84" s="192">
        <v>-90.9512406437858</v>
      </c>
      <c r="G84" s="192">
        <v>-81.85611657940721</v>
      </c>
      <c r="H84" s="192">
        <v>-127.33173690130012</v>
      </c>
      <c r="I84" s="192">
        <v>-136.4268609656787</v>
      </c>
      <c r="J84" s="192">
        <v>-127.33173690130012</v>
      </c>
      <c r="K84" s="192">
        <v>-118.23661283692154</v>
      </c>
      <c r="L84" s="192">
        <v>-118.23661283692154</v>
      </c>
      <c r="M84" s="192">
        <v>-45.4756203218929</v>
      </c>
      <c r="N84" s="192">
        <v>-100.04636470816438</v>
      </c>
      <c r="O84" s="215">
        <v>-1191.461252433594</v>
      </c>
    </row>
    <row r="85" spans="1:15" ht="12.75">
      <c r="A85" s="246"/>
      <c r="B85" s="206" t="s">
        <v>27</v>
      </c>
      <c r="C85" s="214">
        <v>-1034.6861165794053</v>
      </c>
      <c r="D85" s="192">
        <v>-1034.6861165794053</v>
      </c>
      <c r="E85" s="192">
        <v>-1034.6861165794053</v>
      </c>
      <c r="F85" s="192">
        <v>-1149.6512406437846</v>
      </c>
      <c r="G85" s="192">
        <v>-1034.6861165794053</v>
      </c>
      <c r="H85" s="192">
        <v>-1609.5117369013005</v>
      </c>
      <c r="I85" s="192">
        <v>-1724.476860965678</v>
      </c>
      <c r="J85" s="192">
        <v>-1609.5117369013005</v>
      </c>
      <c r="K85" s="192">
        <v>-1494.5466128369194</v>
      </c>
      <c r="L85" s="192">
        <v>-1494.5466128369194</v>
      </c>
      <c r="M85" s="192">
        <v>-574.8256203218923</v>
      </c>
      <c r="N85" s="192">
        <v>-1264.616364708164</v>
      </c>
      <c r="O85" s="215">
        <v>-15060.43125243358</v>
      </c>
    </row>
    <row r="86" spans="1:15" ht="12.75">
      <c r="A86" s="246"/>
      <c r="B86" s="206" t="s">
        <v>51</v>
      </c>
      <c r="C86" s="214">
        <v>7283.7</v>
      </c>
      <c r="D86" s="192">
        <v>7283.7</v>
      </c>
      <c r="E86" s="192">
        <v>7283.7</v>
      </c>
      <c r="F86" s="192">
        <v>8093</v>
      </c>
      <c r="G86" s="192">
        <v>7283.7</v>
      </c>
      <c r="H86" s="192">
        <v>11330.199999999999</v>
      </c>
      <c r="I86" s="192">
        <v>12139.5</v>
      </c>
      <c r="J86" s="192">
        <v>11330.199999999999</v>
      </c>
      <c r="K86" s="192">
        <v>10520.9</v>
      </c>
      <c r="L86" s="192">
        <v>10520.9</v>
      </c>
      <c r="M86" s="192">
        <v>4046.5</v>
      </c>
      <c r="N86" s="192">
        <v>8902.3</v>
      </c>
      <c r="O86" s="215">
        <v>106018.29999999999</v>
      </c>
    </row>
    <row r="87" spans="1:15" ht="12.75">
      <c r="A87" s="246"/>
      <c r="B87" s="206" t="s">
        <v>92</v>
      </c>
      <c r="C87" s="214">
        <v>6577.289999999999</v>
      </c>
      <c r="D87" s="192">
        <v>6577.289999999999</v>
      </c>
      <c r="E87" s="192">
        <v>6577.289999999999</v>
      </c>
      <c r="F87" s="192">
        <v>7308.099999999999</v>
      </c>
      <c r="G87" s="192">
        <v>6577.289999999999</v>
      </c>
      <c r="H87" s="192">
        <v>10231.34</v>
      </c>
      <c r="I87" s="192">
        <v>10962.15</v>
      </c>
      <c r="J87" s="192">
        <v>10231.34</v>
      </c>
      <c r="K87" s="192">
        <v>9500.529999999999</v>
      </c>
      <c r="L87" s="192">
        <v>9500.529999999999</v>
      </c>
      <c r="M87" s="192">
        <v>3654.0499999999997</v>
      </c>
      <c r="N87" s="192">
        <v>8038.91</v>
      </c>
      <c r="O87" s="215">
        <v>95736.11</v>
      </c>
    </row>
    <row r="88" spans="1:15" ht="12.75">
      <c r="A88" s="246"/>
      <c r="B88" s="206" t="s">
        <v>94</v>
      </c>
      <c r="C88" s="214">
        <v>-706.4100000000008</v>
      </c>
      <c r="D88" s="192">
        <v>-706.4100000000008</v>
      </c>
      <c r="E88" s="192">
        <v>-706.4100000000008</v>
      </c>
      <c r="F88" s="192">
        <v>-784.9000000000005</v>
      </c>
      <c r="G88" s="192">
        <v>-706.4100000000008</v>
      </c>
      <c r="H88" s="192">
        <v>-1098.8599999999988</v>
      </c>
      <c r="I88" s="192">
        <v>-1177.3500000000004</v>
      </c>
      <c r="J88" s="192">
        <v>-1098.8599999999988</v>
      </c>
      <c r="K88" s="192">
        <v>-1020.3700000000008</v>
      </c>
      <c r="L88" s="192">
        <v>-1020.3700000000008</v>
      </c>
      <c r="M88" s="192">
        <v>-392.4500000000003</v>
      </c>
      <c r="N88" s="192">
        <v>-863.3899999999994</v>
      </c>
      <c r="O88" s="215">
        <v>-10282.190000000002</v>
      </c>
    </row>
    <row r="89" spans="1:15" ht="12.75">
      <c r="A89" s="199" t="s">
        <v>58</v>
      </c>
      <c r="B89" s="199" t="s">
        <v>72</v>
      </c>
      <c r="C89" s="208">
        <v>15623.500000000002</v>
      </c>
      <c r="D89" s="209">
        <v>13123.740000000002</v>
      </c>
      <c r="E89" s="209">
        <v>11248.920000000002</v>
      </c>
      <c r="F89" s="209">
        <v>13123.740000000002</v>
      </c>
      <c r="G89" s="209">
        <v>21247.960000000003</v>
      </c>
      <c r="H89" s="209">
        <v>23122.780000000002</v>
      </c>
      <c r="I89" s="209">
        <v>23747.72</v>
      </c>
      <c r="J89" s="209">
        <v>21872.9</v>
      </c>
      <c r="K89" s="209">
        <v>22497.840000000004</v>
      </c>
      <c r="L89" s="209">
        <v>18748.2</v>
      </c>
      <c r="M89" s="209">
        <v>12498.800000000001</v>
      </c>
      <c r="N89" s="209">
        <v>13123.740000000002</v>
      </c>
      <c r="O89" s="210">
        <v>209979.84</v>
      </c>
    </row>
    <row r="90" spans="1:15" ht="12.75">
      <c r="A90" s="246"/>
      <c r="B90" s="206" t="s">
        <v>25</v>
      </c>
      <c r="C90" s="214">
        <v>-4608.999999999998</v>
      </c>
      <c r="D90" s="192">
        <v>-3871.5599999999977</v>
      </c>
      <c r="E90" s="192">
        <v>-3318.4799999999977</v>
      </c>
      <c r="F90" s="192">
        <v>-3871.5599999999977</v>
      </c>
      <c r="G90" s="192">
        <v>-6268.239999999994</v>
      </c>
      <c r="H90" s="192">
        <v>-6821.319999999996</v>
      </c>
      <c r="I90" s="192">
        <v>-7005.679999999997</v>
      </c>
      <c r="J90" s="192">
        <v>-6452.5999999999985</v>
      </c>
      <c r="K90" s="192">
        <v>-6636.9599999999955</v>
      </c>
      <c r="L90" s="192">
        <v>-5530.799999999999</v>
      </c>
      <c r="M90" s="192">
        <v>-3687.199999999999</v>
      </c>
      <c r="N90" s="192">
        <v>-3871.5599999999977</v>
      </c>
      <c r="O90" s="215">
        <v>-61944.95999999998</v>
      </c>
    </row>
    <row r="91" spans="1:15" ht="12.75">
      <c r="A91" s="246"/>
      <c r="B91" s="206" t="s">
        <v>26</v>
      </c>
      <c r="C91" s="214">
        <v>-227.3781016094645</v>
      </c>
      <c r="D91" s="192">
        <v>-190.99760535195017</v>
      </c>
      <c r="E91" s="192">
        <v>-163.71223315881443</v>
      </c>
      <c r="F91" s="192">
        <v>-190.99760535195017</v>
      </c>
      <c r="G91" s="192">
        <v>-309.2342181888717</v>
      </c>
      <c r="H91" s="192">
        <v>-336.51959038200744</v>
      </c>
      <c r="I91" s="192">
        <v>-345.614714446386</v>
      </c>
      <c r="J91" s="192">
        <v>-318.3293422532503</v>
      </c>
      <c r="K91" s="192">
        <v>-327.42446631762886</v>
      </c>
      <c r="L91" s="192">
        <v>-272.8537219313574</v>
      </c>
      <c r="M91" s="192">
        <v>-181.9024812875716</v>
      </c>
      <c r="N91" s="192">
        <v>-190.99760535195017</v>
      </c>
      <c r="O91" s="215">
        <v>-3055.9616856312027</v>
      </c>
    </row>
    <row r="92" spans="1:15" ht="12.75">
      <c r="A92" s="246"/>
      <c r="B92" s="206" t="s">
        <v>27</v>
      </c>
      <c r="C92" s="214">
        <v>-2874.1281016094626</v>
      </c>
      <c r="D92" s="192">
        <v>-2414.267605351947</v>
      </c>
      <c r="E92" s="192">
        <v>-2069.3722331588106</v>
      </c>
      <c r="F92" s="192">
        <v>-2414.267605351947</v>
      </c>
      <c r="G92" s="192">
        <v>-3908.814218188866</v>
      </c>
      <c r="H92" s="192">
        <v>-4253.709590382003</v>
      </c>
      <c r="I92" s="192">
        <v>-4368.674714446383</v>
      </c>
      <c r="J92" s="192">
        <v>-4023.7793422532477</v>
      </c>
      <c r="K92" s="192">
        <v>-4138.744466317621</v>
      </c>
      <c r="L92" s="192">
        <v>-3448.953721931356</v>
      </c>
      <c r="M92" s="192">
        <v>-2299.302481287569</v>
      </c>
      <c r="N92" s="192">
        <v>-2414.267605351947</v>
      </c>
      <c r="O92" s="215">
        <v>-38628.281685631155</v>
      </c>
    </row>
    <row r="93" spans="1:15" ht="12.75">
      <c r="A93" s="246"/>
      <c r="B93" s="206" t="s">
        <v>51</v>
      </c>
      <c r="C93" s="214">
        <v>20232.5</v>
      </c>
      <c r="D93" s="192">
        <v>16995.3</v>
      </c>
      <c r="E93" s="192">
        <v>14567.4</v>
      </c>
      <c r="F93" s="192">
        <v>16995.3</v>
      </c>
      <c r="G93" s="192">
        <v>27516.199999999997</v>
      </c>
      <c r="H93" s="192">
        <v>29944.1</v>
      </c>
      <c r="I93" s="192">
        <v>30753.399999999998</v>
      </c>
      <c r="J93" s="192">
        <v>28325.5</v>
      </c>
      <c r="K93" s="192">
        <v>29134.8</v>
      </c>
      <c r="L93" s="192">
        <v>24279</v>
      </c>
      <c r="M93" s="192">
        <v>16186</v>
      </c>
      <c r="N93" s="192">
        <v>16995.3</v>
      </c>
      <c r="O93" s="215">
        <v>271924.8</v>
      </c>
    </row>
    <row r="94" spans="1:15" ht="12.75">
      <c r="A94" s="246"/>
      <c r="B94" s="206" t="s">
        <v>92</v>
      </c>
      <c r="C94" s="214">
        <v>18270.25</v>
      </c>
      <c r="D94" s="192">
        <v>15347.009999999998</v>
      </c>
      <c r="E94" s="192">
        <v>13154.579999999998</v>
      </c>
      <c r="F94" s="192">
        <v>15347.009999999998</v>
      </c>
      <c r="G94" s="192">
        <v>24847.539999999997</v>
      </c>
      <c r="H94" s="192">
        <v>27039.969999999998</v>
      </c>
      <c r="I94" s="192">
        <v>27770.78</v>
      </c>
      <c r="J94" s="192">
        <v>25578.35</v>
      </c>
      <c r="K94" s="192">
        <v>26309.159999999996</v>
      </c>
      <c r="L94" s="192">
        <v>21924.3</v>
      </c>
      <c r="M94" s="192">
        <v>14616.199999999999</v>
      </c>
      <c r="N94" s="192">
        <v>15347.009999999998</v>
      </c>
      <c r="O94" s="215">
        <v>245552.16</v>
      </c>
    </row>
    <row r="95" spans="1:15" ht="12.75">
      <c r="A95" s="246"/>
      <c r="B95" s="206" t="s">
        <v>94</v>
      </c>
      <c r="C95" s="214">
        <v>-1962.25</v>
      </c>
      <c r="D95" s="192">
        <v>-1648.2900000000009</v>
      </c>
      <c r="E95" s="192">
        <v>-1412.8200000000015</v>
      </c>
      <c r="F95" s="192">
        <v>-1648.2900000000009</v>
      </c>
      <c r="G95" s="192">
        <v>-2668.66</v>
      </c>
      <c r="H95" s="192">
        <v>-2904.130000000001</v>
      </c>
      <c r="I95" s="192">
        <v>-2982.619999999999</v>
      </c>
      <c r="J95" s="192">
        <v>-2747.1500000000015</v>
      </c>
      <c r="K95" s="192">
        <v>-2825.640000000003</v>
      </c>
      <c r="L95" s="192">
        <v>-2354.7000000000007</v>
      </c>
      <c r="M95" s="192">
        <v>-1569.800000000001</v>
      </c>
      <c r="N95" s="192">
        <v>-1648.2900000000009</v>
      </c>
      <c r="O95" s="215">
        <v>-26372.640000000014</v>
      </c>
    </row>
    <row r="96" spans="1:15" ht="12.75">
      <c r="A96" s="199" t="s">
        <v>59</v>
      </c>
      <c r="B96" s="199" t="s">
        <v>72</v>
      </c>
      <c r="C96" s="208">
        <v>28122.300000000003</v>
      </c>
      <c r="D96" s="209">
        <v>26872.420000000002</v>
      </c>
      <c r="E96" s="209">
        <v>24372.660000000003</v>
      </c>
      <c r="F96" s="209">
        <v>24372.660000000003</v>
      </c>
      <c r="G96" s="209">
        <v>34996.64</v>
      </c>
      <c r="H96" s="209">
        <v>35621.58</v>
      </c>
      <c r="I96" s="209">
        <v>34996.64</v>
      </c>
      <c r="J96" s="209">
        <v>34996.64</v>
      </c>
      <c r="K96" s="209">
        <v>34371.700000000004</v>
      </c>
      <c r="L96" s="209">
        <v>32496.880000000005</v>
      </c>
      <c r="M96" s="209">
        <v>26247.480000000003</v>
      </c>
      <c r="N96" s="209">
        <v>25622.54</v>
      </c>
      <c r="O96" s="210">
        <v>363090.14</v>
      </c>
    </row>
    <row r="97" spans="1:15" ht="12.75">
      <c r="A97" s="246"/>
      <c r="B97" s="206" t="s">
        <v>25</v>
      </c>
      <c r="C97" s="214">
        <v>-8296.199999999997</v>
      </c>
      <c r="D97" s="192">
        <v>-7927.48</v>
      </c>
      <c r="E97" s="192">
        <v>-7190.039999999994</v>
      </c>
      <c r="F97" s="192">
        <v>-7190.039999999994</v>
      </c>
      <c r="G97" s="192">
        <v>-10324.159999999996</v>
      </c>
      <c r="H97" s="192">
        <v>-10508.519999999997</v>
      </c>
      <c r="I97" s="192">
        <v>-10324.159999999996</v>
      </c>
      <c r="J97" s="192">
        <v>-10324.159999999996</v>
      </c>
      <c r="K97" s="192">
        <v>-10139.799999999996</v>
      </c>
      <c r="L97" s="192">
        <v>-9586.719999999994</v>
      </c>
      <c r="M97" s="192">
        <v>-7743.119999999995</v>
      </c>
      <c r="N97" s="192">
        <v>-7558.759999999995</v>
      </c>
      <c r="O97" s="215">
        <v>-107113.15999999996</v>
      </c>
    </row>
    <row r="98" spans="1:15" ht="12.75">
      <c r="A98" s="246"/>
      <c r="B98" s="206" t="s">
        <v>26</v>
      </c>
      <c r="C98" s="214">
        <v>-409.2805828970361</v>
      </c>
      <c r="D98" s="192">
        <v>-391.0903347682789</v>
      </c>
      <c r="E98" s="192">
        <v>-354.7098385107646</v>
      </c>
      <c r="F98" s="192">
        <v>-354.7098385107646</v>
      </c>
      <c r="G98" s="192">
        <v>-509.3269476052005</v>
      </c>
      <c r="H98" s="192">
        <v>-518.422071669579</v>
      </c>
      <c r="I98" s="192">
        <v>-509.3269476052005</v>
      </c>
      <c r="J98" s="192">
        <v>-509.3269476052005</v>
      </c>
      <c r="K98" s="192">
        <v>-500.2318235408219</v>
      </c>
      <c r="L98" s="192">
        <v>-472.94645134768615</v>
      </c>
      <c r="M98" s="192">
        <v>-381.99521070390034</v>
      </c>
      <c r="N98" s="192">
        <v>-372.90008663952176</v>
      </c>
      <c r="O98" s="215">
        <v>-5284.267081403956</v>
      </c>
    </row>
    <row r="99" spans="1:15" ht="12.75">
      <c r="A99" s="246"/>
      <c r="B99" s="206" t="s">
        <v>27</v>
      </c>
      <c r="C99" s="214">
        <v>-5173.43058289703</v>
      </c>
      <c r="D99" s="192">
        <v>-4943.500334768276</v>
      </c>
      <c r="E99" s="192">
        <v>-4483.639838510758</v>
      </c>
      <c r="F99" s="192">
        <v>-4483.639838510758</v>
      </c>
      <c r="G99" s="192">
        <v>-6438.046947605202</v>
      </c>
      <c r="H99" s="192">
        <v>-6553.012071669575</v>
      </c>
      <c r="I99" s="192">
        <v>-6438.046947605202</v>
      </c>
      <c r="J99" s="192">
        <v>-6438.046947605202</v>
      </c>
      <c r="K99" s="192">
        <v>-6323.081823540813</v>
      </c>
      <c r="L99" s="192">
        <v>-5978.186451347678</v>
      </c>
      <c r="M99" s="192">
        <v>-4828.535210703894</v>
      </c>
      <c r="N99" s="192">
        <v>-4713.57008663952</v>
      </c>
      <c r="O99" s="215">
        <v>-66794.7370814039</v>
      </c>
    </row>
    <row r="100" spans="1:15" ht="12.75">
      <c r="A100" s="246"/>
      <c r="B100" s="206" t="s">
        <v>51</v>
      </c>
      <c r="C100" s="214">
        <v>36418.5</v>
      </c>
      <c r="D100" s="192">
        <v>34799.9</v>
      </c>
      <c r="E100" s="192">
        <v>31562.699999999997</v>
      </c>
      <c r="F100" s="192">
        <v>31562.699999999997</v>
      </c>
      <c r="G100" s="192">
        <v>45320.799999999996</v>
      </c>
      <c r="H100" s="192">
        <v>46130.1</v>
      </c>
      <c r="I100" s="192">
        <v>45320.799999999996</v>
      </c>
      <c r="J100" s="192">
        <v>45320.799999999996</v>
      </c>
      <c r="K100" s="192">
        <v>44511.5</v>
      </c>
      <c r="L100" s="192">
        <v>42083.6</v>
      </c>
      <c r="M100" s="192">
        <v>33990.6</v>
      </c>
      <c r="N100" s="192">
        <v>33181.299999999996</v>
      </c>
      <c r="O100" s="215">
        <v>470203.29999999993</v>
      </c>
    </row>
    <row r="101" spans="1:15" ht="12.75">
      <c r="A101" s="246"/>
      <c r="B101" s="206" t="s">
        <v>92</v>
      </c>
      <c r="C101" s="214">
        <v>32886.45</v>
      </c>
      <c r="D101" s="192">
        <v>31424.829999999998</v>
      </c>
      <c r="E101" s="192">
        <v>28501.589999999997</v>
      </c>
      <c r="F101" s="192">
        <v>28501.589999999997</v>
      </c>
      <c r="G101" s="192">
        <v>40925.36</v>
      </c>
      <c r="H101" s="192">
        <v>41656.17</v>
      </c>
      <c r="I101" s="192">
        <v>40925.36</v>
      </c>
      <c r="J101" s="192">
        <v>40925.36</v>
      </c>
      <c r="K101" s="192">
        <v>40194.549999999996</v>
      </c>
      <c r="L101" s="192">
        <v>38002.119999999995</v>
      </c>
      <c r="M101" s="192">
        <v>30694.019999999997</v>
      </c>
      <c r="N101" s="192">
        <v>29963.21</v>
      </c>
      <c r="O101" s="215">
        <v>424600.61</v>
      </c>
    </row>
    <row r="102" spans="1:15" ht="12.75">
      <c r="A102" s="246"/>
      <c r="B102" s="206" t="s">
        <v>94</v>
      </c>
      <c r="C102" s="214">
        <v>-3532.050000000003</v>
      </c>
      <c r="D102" s="192">
        <v>-3375.0700000000033</v>
      </c>
      <c r="E102" s="192">
        <v>-3061.1100000000006</v>
      </c>
      <c r="F102" s="192">
        <v>-3061.1100000000006</v>
      </c>
      <c r="G102" s="192">
        <v>-4395.439999999995</v>
      </c>
      <c r="H102" s="192">
        <v>-4473.93</v>
      </c>
      <c r="I102" s="192">
        <v>-4395.439999999995</v>
      </c>
      <c r="J102" s="192">
        <v>-4395.439999999995</v>
      </c>
      <c r="K102" s="192">
        <v>-4316.950000000004</v>
      </c>
      <c r="L102" s="192">
        <v>-4081.480000000003</v>
      </c>
      <c r="M102" s="192">
        <v>-3296.5800000000017</v>
      </c>
      <c r="N102" s="192">
        <v>-3218.0899999999965</v>
      </c>
      <c r="O102" s="215">
        <v>-45602.689999999995</v>
      </c>
    </row>
    <row r="103" spans="1:15" ht="12.75">
      <c r="A103" s="199" t="s">
        <v>83</v>
      </c>
      <c r="B103" s="199" t="s">
        <v>72</v>
      </c>
      <c r="C103" s="208">
        <v>127487.76000000001</v>
      </c>
      <c r="D103" s="209">
        <v>81867.14000000001</v>
      </c>
      <c r="E103" s="209">
        <v>68118.46</v>
      </c>
      <c r="F103" s="209">
        <v>52494.96000000001</v>
      </c>
      <c r="G103" s="209">
        <v>83741.96</v>
      </c>
      <c r="H103" s="209">
        <v>82492.08</v>
      </c>
      <c r="I103" s="209">
        <v>89366.42000000001</v>
      </c>
      <c r="J103" s="209">
        <v>74992.8</v>
      </c>
      <c r="K103" s="209">
        <v>79367.38</v>
      </c>
      <c r="L103" s="209">
        <v>73742.92000000001</v>
      </c>
      <c r="M103" s="209">
        <v>88741.48000000001</v>
      </c>
      <c r="N103" s="209">
        <v>80617.26000000001</v>
      </c>
      <c r="O103" s="210">
        <v>983030.6200000002</v>
      </c>
    </row>
    <row r="104" spans="1:15" ht="12.75">
      <c r="A104" s="246"/>
      <c r="B104" s="206" t="s">
        <v>25</v>
      </c>
      <c r="C104" s="214">
        <v>-37609.43999999997</v>
      </c>
      <c r="D104" s="192">
        <v>-24151.159999999974</v>
      </c>
      <c r="E104" s="192">
        <v>-20095.23999999999</v>
      </c>
      <c r="F104" s="192">
        <v>-15486.23999999999</v>
      </c>
      <c r="G104" s="192">
        <v>-24704.23999999999</v>
      </c>
      <c r="H104" s="192">
        <v>-24335.51999999999</v>
      </c>
      <c r="I104" s="192">
        <v>-26363.47999999998</v>
      </c>
      <c r="J104" s="192">
        <v>-22123.199999999997</v>
      </c>
      <c r="K104" s="192">
        <v>-23413.719999999987</v>
      </c>
      <c r="L104" s="192">
        <v>-21754.47999999998</v>
      </c>
      <c r="M104" s="192">
        <v>-26179.11999999998</v>
      </c>
      <c r="N104" s="192">
        <v>-23782.439999999988</v>
      </c>
      <c r="O104" s="215">
        <v>-289998.27999999985</v>
      </c>
    </row>
    <row r="105" spans="1:15" ht="12.75">
      <c r="A105" s="246"/>
      <c r="B105" s="206" t="s">
        <v>26</v>
      </c>
      <c r="C105" s="214">
        <v>-1855.4053091332303</v>
      </c>
      <c r="D105" s="192">
        <v>-1191.461252433594</v>
      </c>
      <c r="E105" s="192">
        <v>-991.3685230172651</v>
      </c>
      <c r="F105" s="192">
        <v>-763.9904214078007</v>
      </c>
      <c r="G105" s="192">
        <v>-1218.7466246267297</v>
      </c>
      <c r="H105" s="192">
        <v>-1200.5563764979725</v>
      </c>
      <c r="I105" s="192">
        <v>-1300.602741206137</v>
      </c>
      <c r="J105" s="192">
        <v>-1091.4148877254297</v>
      </c>
      <c r="K105" s="192">
        <v>-1155.0807561760796</v>
      </c>
      <c r="L105" s="192">
        <v>-1073.2246395966724</v>
      </c>
      <c r="M105" s="192">
        <v>-1291.5076171417584</v>
      </c>
      <c r="N105" s="192">
        <v>-1173.2710043048367</v>
      </c>
      <c r="O105" s="215">
        <v>-14306.630153267506</v>
      </c>
    </row>
    <row r="106" spans="1:15" ht="12.75">
      <c r="A106" s="246"/>
      <c r="B106" s="206" t="s">
        <v>27</v>
      </c>
      <c r="C106" s="214">
        <v>-23452.885309133213</v>
      </c>
      <c r="D106" s="192">
        <v>-15060.431252433566</v>
      </c>
      <c r="E106" s="192">
        <v>-12531.198523017254</v>
      </c>
      <c r="F106" s="192">
        <v>-9657.070421407789</v>
      </c>
      <c r="G106" s="192">
        <v>-15405.326624626716</v>
      </c>
      <c r="H106" s="192">
        <v>-15175.39637649797</v>
      </c>
      <c r="I106" s="192">
        <v>-16440.012741206112</v>
      </c>
      <c r="J106" s="192">
        <v>-13795.814887725424</v>
      </c>
      <c r="K106" s="192">
        <v>-14600.570756176072</v>
      </c>
      <c r="L106" s="192">
        <v>-13565.884639596647</v>
      </c>
      <c r="M106" s="192">
        <v>-16325.047617141736</v>
      </c>
      <c r="N106" s="192">
        <v>-14830.501004304817</v>
      </c>
      <c r="O106" s="215">
        <v>-180840.14015326733</v>
      </c>
    </row>
    <row r="107" spans="1:15" ht="12.75">
      <c r="A107" s="246"/>
      <c r="B107" s="206" t="s">
        <v>51</v>
      </c>
      <c r="C107" s="214">
        <v>165097.19999999998</v>
      </c>
      <c r="D107" s="192">
        <v>106018.29999999999</v>
      </c>
      <c r="E107" s="192">
        <v>88213.7</v>
      </c>
      <c r="F107" s="192">
        <v>67981.2</v>
      </c>
      <c r="G107" s="192">
        <v>108446.2</v>
      </c>
      <c r="H107" s="192">
        <v>106827.59999999999</v>
      </c>
      <c r="I107" s="192">
        <v>115729.9</v>
      </c>
      <c r="J107" s="192">
        <v>97116</v>
      </c>
      <c r="K107" s="192">
        <v>102781.09999999999</v>
      </c>
      <c r="L107" s="192">
        <v>95497.4</v>
      </c>
      <c r="M107" s="192">
        <v>114920.59999999999</v>
      </c>
      <c r="N107" s="192">
        <v>104399.7</v>
      </c>
      <c r="O107" s="215">
        <v>1273028.9</v>
      </c>
    </row>
    <row r="108" spans="1:15" ht="12.75">
      <c r="A108" s="246"/>
      <c r="B108" s="206" t="s">
        <v>92</v>
      </c>
      <c r="C108" s="214">
        <v>149085.24</v>
      </c>
      <c r="D108" s="192">
        <v>95736.10999999999</v>
      </c>
      <c r="E108" s="192">
        <v>79658.29</v>
      </c>
      <c r="F108" s="192">
        <v>61388.03999999999</v>
      </c>
      <c r="G108" s="192">
        <v>97928.54</v>
      </c>
      <c r="H108" s="192">
        <v>96466.92</v>
      </c>
      <c r="I108" s="192">
        <v>104505.82999999999</v>
      </c>
      <c r="J108" s="192">
        <v>87697.2</v>
      </c>
      <c r="K108" s="192">
        <v>92812.87</v>
      </c>
      <c r="L108" s="192">
        <v>86235.57999999999</v>
      </c>
      <c r="M108" s="192">
        <v>103775.01999999999</v>
      </c>
      <c r="N108" s="192">
        <v>94274.48999999999</v>
      </c>
      <c r="O108" s="215">
        <v>1149564.1299999997</v>
      </c>
    </row>
    <row r="109" spans="1:15" ht="12.75">
      <c r="A109" s="246"/>
      <c r="B109" s="206" t="s">
        <v>94</v>
      </c>
      <c r="C109" s="214">
        <v>-16011.959999999992</v>
      </c>
      <c r="D109" s="192">
        <v>-10282.190000000002</v>
      </c>
      <c r="E109" s="192">
        <v>-8555.410000000003</v>
      </c>
      <c r="F109" s="192">
        <v>-6593.1600000000035</v>
      </c>
      <c r="G109" s="192">
        <v>-10517.660000000003</v>
      </c>
      <c r="H109" s="192">
        <v>-10360.679999999993</v>
      </c>
      <c r="I109" s="192">
        <v>-11224.070000000007</v>
      </c>
      <c r="J109" s="192">
        <v>-9418.800000000003</v>
      </c>
      <c r="K109" s="192">
        <v>-9968.229999999996</v>
      </c>
      <c r="L109" s="192">
        <v>-9261.820000000007</v>
      </c>
      <c r="M109" s="192">
        <v>-11145.580000000002</v>
      </c>
      <c r="N109" s="192">
        <v>-10125.210000000006</v>
      </c>
      <c r="O109" s="215">
        <v>-123464.77000000002</v>
      </c>
    </row>
    <row r="110" spans="1:15" ht="12.75">
      <c r="A110" s="199" t="s">
        <v>87</v>
      </c>
      <c r="B110" s="199" t="s">
        <v>72</v>
      </c>
      <c r="C110" s="208">
        <v>31247.000000000004</v>
      </c>
      <c r="D110" s="209">
        <v>27497.36</v>
      </c>
      <c r="E110" s="209">
        <v>19373.140000000003</v>
      </c>
      <c r="F110" s="209">
        <v>14373.62</v>
      </c>
      <c r="G110" s="209">
        <v>26247.480000000003</v>
      </c>
      <c r="H110" s="209">
        <v>29997.120000000003</v>
      </c>
      <c r="I110" s="209">
        <v>33121.82</v>
      </c>
      <c r="J110" s="209">
        <v>28122.300000000003</v>
      </c>
      <c r="K110" s="209">
        <v>26872.420000000002</v>
      </c>
      <c r="L110" s="209">
        <v>21872.9</v>
      </c>
      <c r="M110" s="209">
        <v>21872.9</v>
      </c>
      <c r="N110" s="209">
        <v>22497.840000000004</v>
      </c>
      <c r="O110" s="210">
        <v>303095.9000000001</v>
      </c>
    </row>
    <row r="111" spans="1:15" ht="12.75">
      <c r="A111" s="246"/>
      <c r="B111" s="206" t="s">
        <v>25</v>
      </c>
      <c r="C111" s="214">
        <v>-9217.999999999996</v>
      </c>
      <c r="D111" s="192">
        <v>-8111.8399999999965</v>
      </c>
      <c r="E111" s="192">
        <v>-5715.159999999996</v>
      </c>
      <c r="F111" s="192">
        <v>-4240.279999999997</v>
      </c>
      <c r="G111" s="192">
        <v>-7743.119999999995</v>
      </c>
      <c r="H111" s="192">
        <v>-8849.279999999992</v>
      </c>
      <c r="I111" s="192">
        <v>-9771.079999999994</v>
      </c>
      <c r="J111" s="192">
        <v>-8296.199999999997</v>
      </c>
      <c r="K111" s="192">
        <v>-7927.48</v>
      </c>
      <c r="L111" s="192">
        <v>-6452.5999999999985</v>
      </c>
      <c r="M111" s="192">
        <v>-6452.5999999999985</v>
      </c>
      <c r="N111" s="192">
        <v>-6636.9599999999955</v>
      </c>
      <c r="O111" s="215">
        <v>-89414.59999999995</v>
      </c>
    </row>
    <row r="112" spans="1:15" ht="12.75">
      <c r="A112" s="246"/>
      <c r="B112" s="206" t="s">
        <v>26</v>
      </c>
      <c r="C112" s="214">
        <v>-454.756203218929</v>
      </c>
      <c r="D112" s="192">
        <v>-400.1854588326575</v>
      </c>
      <c r="E112" s="192">
        <v>-281.94884599573595</v>
      </c>
      <c r="F112" s="192">
        <v>-209.18785348070733</v>
      </c>
      <c r="G112" s="192">
        <v>-381.99521070390034</v>
      </c>
      <c r="H112" s="192">
        <v>-436.5659550901718</v>
      </c>
      <c r="I112" s="192">
        <v>-482.04157541206473</v>
      </c>
      <c r="J112" s="192">
        <v>-409.2805828970361</v>
      </c>
      <c r="K112" s="192">
        <v>-391.0903347682789</v>
      </c>
      <c r="L112" s="192">
        <v>-318.3293422532503</v>
      </c>
      <c r="M112" s="192">
        <v>-318.3293422532503</v>
      </c>
      <c r="N112" s="192">
        <v>-327.42446631762886</v>
      </c>
      <c r="O112" s="215">
        <v>-4411.13517122361</v>
      </c>
    </row>
    <row r="113" spans="1:15" ht="12.75">
      <c r="A113" s="246"/>
      <c r="B113" s="206" t="s">
        <v>27</v>
      </c>
      <c r="C113" s="214">
        <v>-5748.256203218925</v>
      </c>
      <c r="D113" s="192">
        <v>-5058.465458832656</v>
      </c>
      <c r="E113" s="192">
        <v>-3563.9188459957295</v>
      </c>
      <c r="F113" s="192">
        <v>-2644.197853480704</v>
      </c>
      <c r="G113" s="192">
        <v>-4828.535210703894</v>
      </c>
      <c r="H113" s="192">
        <v>-5518.325955090166</v>
      </c>
      <c r="I113" s="192">
        <v>-6093.151575412065</v>
      </c>
      <c r="J113" s="192">
        <v>-5173.43058289703</v>
      </c>
      <c r="K113" s="192">
        <v>-4943.500334768276</v>
      </c>
      <c r="L113" s="192">
        <v>-4023.7793422532477</v>
      </c>
      <c r="M113" s="192">
        <v>-4023.7793422532477</v>
      </c>
      <c r="N113" s="192">
        <v>-4138.744466317621</v>
      </c>
      <c r="O113" s="215">
        <v>-55758.08517122357</v>
      </c>
    </row>
    <row r="114" spans="1:15" ht="12.75">
      <c r="A114" s="246"/>
      <c r="B114" s="206" t="s">
        <v>51</v>
      </c>
      <c r="C114" s="214">
        <v>40465</v>
      </c>
      <c r="D114" s="192">
        <v>35609.2</v>
      </c>
      <c r="E114" s="192">
        <v>25088.3</v>
      </c>
      <c r="F114" s="192">
        <v>18613.899999999998</v>
      </c>
      <c r="G114" s="192">
        <v>33990.6</v>
      </c>
      <c r="H114" s="192">
        <v>38846.399999999994</v>
      </c>
      <c r="I114" s="192">
        <v>42892.899999999994</v>
      </c>
      <c r="J114" s="192">
        <v>36418.5</v>
      </c>
      <c r="K114" s="192">
        <v>34799.9</v>
      </c>
      <c r="L114" s="192">
        <v>28325.5</v>
      </c>
      <c r="M114" s="192">
        <v>28325.5</v>
      </c>
      <c r="N114" s="192">
        <v>29134.8</v>
      </c>
      <c r="O114" s="215">
        <v>392510.5</v>
      </c>
    </row>
    <row r="115" spans="1:15" ht="12.75">
      <c r="A115" s="246"/>
      <c r="B115" s="206" t="s">
        <v>92</v>
      </c>
      <c r="C115" s="214">
        <v>36540.5</v>
      </c>
      <c r="D115" s="192">
        <v>32155.64</v>
      </c>
      <c r="E115" s="192">
        <v>22655.109999999997</v>
      </c>
      <c r="F115" s="192">
        <v>16808.629999999997</v>
      </c>
      <c r="G115" s="192">
        <v>30694.019999999997</v>
      </c>
      <c r="H115" s="192">
        <v>35078.88</v>
      </c>
      <c r="I115" s="192">
        <v>38732.93</v>
      </c>
      <c r="J115" s="192">
        <v>32886.45</v>
      </c>
      <c r="K115" s="192">
        <v>31424.829999999998</v>
      </c>
      <c r="L115" s="192">
        <v>25578.35</v>
      </c>
      <c r="M115" s="192">
        <v>25578.35</v>
      </c>
      <c r="N115" s="192">
        <v>26309.159999999996</v>
      </c>
      <c r="O115" s="215">
        <v>354442.8499999999</v>
      </c>
    </row>
    <row r="116" spans="1:15" ht="12.75">
      <c r="A116" s="246"/>
      <c r="B116" s="206" t="s">
        <v>94</v>
      </c>
      <c r="C116" s="214">
        <v>-3924.5</v>
      </c>
      <c r="D116" s="192">
        <v>-3453.5599999999977</v>
      </c>
      <c r="E116" s="192">
        <v>-2433.1900000000023</v>
      </c>
      <c r="F116" s="192">
        <v>-1805.2700000000004</v>
      </c>
      <c r="G116" s="192">
        <v>-3296.5800000000017</v>
      </c>
      <c r="H116" s="192">
        <v>-3767.519999999997</v>
      </c>
      <c r="I116" s="192">
        <v>-4159.969999999994</v>
      </c>
      <c r="J116" s="192">
        <v>-3532.050000000003</v>
      </c>
      <c r="K116" s="192">
        <v>-3375.0700000000033</v>
      </c>
      <c r="L116" s="192">
        <v>-2747.1500000000015</v>
      </c>
      <c r="M116" s="192">
        <v>-2747.1500000000015</v>
      </c>
      <c r="N116" s="192">
        <v>-2825.640000000003</v>
      </c>
      <c r="O116" s="215">
        <v>-38067.65000000001</v>
      </c>
    </row>
    <row r="117" spans="1:15" ht="12.75">
      <c r="A117" s="199" t="s">
        <v>73</v>
      </c>
      <c r="B117" s="200"/>
      <c r="C117" s="208">
        <v>5971926.640000001</v>
      </c>
      <c r="D117" s="209">
        <v>4852034.160000001</v>
      </c>
      <c r="E117" s="209">
        <v>4017114.3200000003</v>
      </c>
      <c r="F117" s="209">
        <v>3797135.440000001</v>
      </c>
      <c r="G117" s="209">
        <v>5796943.440000001</v>
      </c>
      <c r="H117" s="209">
        <v>6239400.96</v>
      </c>
      <c r="I117" s="209">
        <v>6536872.400000001</v>
      </c>
      <c r="J117" s="209">
        <v>6041919.920000001</v>
      </c>
      <c r="K117" s="209">
        <v>5946304.100000001</v>
      </c>
      <c r="L117" s="209">
        <v>5324488.8</v>
      </c>
      <c r="M117" s="209">
        <v>4785790.520000001</v>
      </c>
      <c r="N117" s="209">
        <v>4757043.279999999</v>
      </c>
      <c r="O117" s="210">
        <v>64066973.98</v>
      </c>
    </row>
    <row r="118" spans="1:15" ht="12.75">
      <c r="A118" s="199" t="s">
        <v>28</v>
      </c>
      <c r="B118" s="200"/>
      <c r="C118" s="216">
        <v>-1761744.1599999988</v>
      </c>
      <c r="D118" s="217">
        <v>-1431371.0399999996</v>
      </c>
      <c r="E118" s="217">
        <v>-1185066.0799999994</v>
      </c>
      <c r="F118" s="217">
        <v>-1120171.3599999996</v>
      </c>
      <c r="G118" s="217">
        <v>-1710123.359999999</v>
      </c>
      <c r="H118" s="217">
        <v>-1840650.239999999</v>
      </c>
      <c r="I118" s="217">
        <v>-1928405.599999999</v>
      </c>
      <c r="J118" s="217">
        <v>-1782392.4799999995</v>
      </c>
      <c r="K118" s="217">
        <v>-1754185.3999999987</v>
      </c>
      <c r="L118" s="217">
        <v>-1570747.1999999993</v>
      </c>
      <c r="M118" s="217">
        <v>-1411828.8799999992</v>
      </c>
      <c r="N118" s="217">
        <v>-1403348.3199999996</v>
      </c>
      <c r="O118" s="218">
        <v>-18900034.119999994</v>
      </c>
    </row>
    <row r="119" spans="1:15" ht="12.75">
      <c r="A119" s="199" t="s">
        <v>29</v>
      </c>
      <c r="B119" s="200"/>
      <c r="C119" s="216">
        <v>-86913.00555920172</v>
      </c>
      <c r="D119" s="217">
        <v>-70614.54323583528</v>
      </c>
      <c r="E119" s="217">
        <v>-58463.45748582552</v>
      </c>
      <c r="F119" s="217">
        <v>-55261.973815164245</v>
      </c>
      <c r="G119" s="217">
        <v>-84366.37082117572</v>
      </c>
      <c r="H119" s="217">
        <v>-90805.71865875574</v>
      </c>
      <c r="I119" s="217">
        <v>-95134.99771339993</v>
      </c>
      <c r="J119" s="217">
        <v>-87931.65945441209</v>
      </c>
      <c r="K119" s="217">
        <v>-86540.10547256218</v>
      </c>
      <c r="L119" s="217">
        <v>-77490.4570285055</v>
      </c>
      <c r="M119" s="217">
        <v>-69650.46008501116</v>
      </c>
      <c r="N119" s="217">
        <v>-69232.08437804977</v>
      </c>
      <c r="O119" s="218">
        <v>-932404.833707899</v>
      </c>
    </row>
    <row r="120" spans="1:15" ht="12.75">
      <c r="A120" s="199" t="s">
        <v>30</v>
      </c>
      <c r="B120" s="200"/>
      <c r="C120" s="216">
        <v>-1098606.7255592</v>
      </c>
      <c r="D120" s="217">
        <v>-892589.2232358344</v>
      </c>
      <c r="E120" s="217">
        <v>-738995.8174858252</v>
      </c>
      <c r="F120" s="217">
        <v>-698528.0938151637</v>
      </c>
      <c r="G120" s="217">
        <v>-1066416.4908211746</v>
      </c>
      <c r="H120" s="217">
        <v>-1147811.7986587542</v>
      </c>
      <c r="I120" s="217">
        <v>-1202535.1977133986</v>
      </c>
      <c r="J120" s="217">
        <v>-1111482.8194544115</v>
      </c>
      <c r="K120" s="217">
        <v>-1093893.1554725608</v>
      </c>
      <c r="L120" s="217">
        <v>-979502.8570285048</v>
      </c>
      <c r="M120" s="217">
        <v>-880402.9200850104</v>
      </c>
      <c r="N120" s="217">
        <v>-875114.5243780491</v>
      </c>
      <c r="O120" s="218">
        <v>-11785879.623707883</v>
      </c>
    </row>
    <row r="121" spans="1:15" ht="12.75">
      <c r="A121" s="199" t="s">
        <v>63</v>
      </c>
      <c r="B121" s="200"/>
      <c r="C121" s="208">
        <v>7733670.8</v>
      </c>
      <c r="D121" s="209">
        <v>6283405.2</v>
      </c>
      <c r="E121" s="209">
        <v>5202180.4</v>
      </c>
      <c r="F121" s="209">
        <v>4917306.800000001</v>
      </c>
      <c r="G121" s="209">
        <v>7507066.799999999</v>
      </c>
      <c r="H121" s="209">
        <v>8080051.2</v>
      </c>
      <c r="I121" s="209">
        <v>8465278</v>
      </c>
      <c r="J121" s="209">
        <v>7824312.399999999</v>
      </c>
      <c r="K121" s="209">
        <v>7700489.5</v>
      </c>
      <c r="L121" s="209">
        <v>6895236.000000001</v>
      </c>
      <c r="M121" s="209">
        <v>6197619.3999999985</v>
      </c>
      <c r="N121" s="209">
        <v>6160391.600000001</v>
      </c>
      <c r="O121" s="210">
        <v>82967008.1</v>
      </c>
    </row>
    <row r="122" spans="1:15" ht="12.75">
      <c r="A122" s="199" t="s">
        <v>93</v>
      </c>
      <c r="B122" s="200"/>
      <c r="C122" s="208">
        <v>6983620.359999999</v>
      </c>
      <c r="D122" s="209">
        <v>5674008.839999999</v>
      </c>
      <c r="E122" s="209">
        <v>4697646.68</v>
      </c>
      <c r="F122" s="209">
        <v>4440401.559999999</v>
      </c>
      <c r="G122" s="209">
        <v>6778993.559999999</v>
      </c>
      <c r="H122" s="209">
        <v>7296407.04</v>
      </c>
      <c r="I122" s="209">
        <v>7644272.599999999</v>
      </c>
      <c r="J122" s="209">
        <v>7065471.079999999</v>
      </c>
      <c r="K122" s="209">
        <v>6953657.149999999</v>
      </c>
      <c r="L122" s="209">
        <v>6226501.2</v>
      </c>
      <c r="M122" s="209">
        <v>5596542.979999999</v>
      </c>
      <c r="N122" s="209">
        <v>5562925.720000001</v>
      </c>
      <c r="O122" s="210">
        <v>74920448.76999998</v>
      </c>
    </row>
    <row r="123" spans="1:15" ht="12.75">
      <c r="A123" s="207" t="s">
        <v>95</v>
      </c>
      <c r="B123" s="247"/>
      <c r="C123" s="219">
        <v>-750050.4400000005</v>
      </c>
      <c r="D123" s="220">
        <v>-609396.3600000006</v>
      </c>
      <c r="E123" s="220">
        <v>-504533.7199999999</v>
      </c>
      <c r="F123" s="220">
        <v>-476905.24</v>
      </c>
      <c r="G123" s="220">
        <v>-728073.2400000001</v>
      </c>
      <c r="H123" s="220">
        <v>-783644.1600000004</v>
      </c>
      <c r="I123" s="220">
        <v>-821005.4000000001</v>
      </c>
      <c r="J123" s="220">
        <v>-758841.3200000002</v>
      </c>
      <c r="K123" s="220">
        <v>-746832.3500000002</v>
      </c>
      <c r="L123" s="220">
        <v>-668734.7999999999</v>
      </c>
      <c r="M123" s="220">
        <v>-601076.42</v>
      </c>
      <c r="N123" s="220">
        <v>-597465.8800000001</v>
      </c>
      <c r="O123" s="221">
        <v>-8046559.330000004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0"/>
  <sheetViews>
    <sheetView showGridLines="0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0.5625" style="0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11.140625" style="3" bestFit="1" customWidth="1"/>
    <col min="9" max="9" width="11.28125" style="6" customWidth="1"/>
    <col min="10" max="10" width="13.7109375" style="3" customWidth="1"/>
    <col min="11" max="11" width="13.57421875" style="11" customWidth="1"/>
    <col min="12" max="12" width="14.7109375" style="3" customWidth="1"/>
    <col min="13" max="13" width="13.421875" style="10" bestFit="1" customWidth="1"/>
    <col min="14" max="17" width="13.421875" style="10" customWidth="1"/>
    <col min="18" max="18" width="15.57421875" style="13" customWidth="1"/>
  </cols>
  <sheetData>
    <row r="1" spans="2:18" ht="33.75">
      <c r="B1" s="5" t="s">
        <v>103</v>
      </c>
      <c r="C1" s="1"/>
      <c r="D1" s="4"/>
      <c r="E1" s="1"/>
      <c r="F1" s="156" t="s">
        <v>12</v>
      </c>
      <c r="G1" s="157"/>
      <c r="H1" s="158"/>
      <c r="I1" s="65"/>
      <c r="J1" s="66" t="str">
        <f>"True-Up ARR
(CY"&amp;R1&amp;")"</f>
        <v>True-Up ARR
(CY2018)</v>
      </c>
      <c r="K1" s="66" t="str">
        <f>"Projected ARR
(Jan'"&amp;RIGHT(R$1,2)&amp;" - Dec'"&amp;RIGHT(R$1,2)&amp;")"</f>
        <v>Projected ARR
(Jan'18 - Dec'18)</v>
      </c>
      <c r="L1" s="145" t="s">
        <v>47</v>
      </c>
      <c r="M1" s="153"/>
      <c r="N1" s="8"/>
      <c r="O1" s="8"/>
      <c r="P1" s="8"/>
      <c r="Q1" s="8"/>
      <c r="R1" s="180">
        <v>2018</v>
      </c>
    </row>
    <row r="2" spans="2:18" ht="12.75">
      <c r="B2" s="5" t="s">
        <v>54</v>
      </c>
      <c r="C2" s="1"/>
      <c r="D2" s="4"/>
      <c r="E2" s="1"/>
      <c r="F2" s="61">
        <v>9</v>
      </c>
      <c r="G2" s="249"/>
      <c r="H2" s="249"/>
      <c r="I2" s="130" t="s">
        <v>6</v>
      </c>
      <c r="J2" s="181">
        <v>64066149.52887619</v>
      </c>
      <c r="K2" s="181">
        <v>79314855.44301167</v>
      </c>
      <c r="L2" s="190"/>
      <c r="M2" s="148"/>
      <c r="N2" s="8"/>
      <c r="O2" s="8"/>
      <c r="P2" s="181">
        <v>71622556.42506124</v>
      </c>
      <c r="Q2" s="181"/>
      <c r="R2"/>
    </row>
    <row r="3" spans="2:18" ht="12.75">
      <c r="B3" s="5" t="str">
        <f>"for CY"&amp;R1&amp;" SPP Network Transmission Service"</f>
        <v>for CY2018 SPP Network Transmission Service</v>
      </c>
      <c r="C3" s="1"/>
      <c r="D3" s="4"/>
      <c r="E3" s="1"/>
      <c r="F3" s="61"/>
      <c r="G3" s="249"/>
      <c r="H3" s="249"/>
      <c r="I3" s="130" t="s">
        <v>10</v>
      </c>
      <c r="J3" s="182">
        <v>624.94</v>
      </c>
      <c r="K3" s="182">
        <v>809.3</v>
      </c>
      <c r="L3" s="146" t="str">
        <f>"Inv. Jan-Dec'"&amp;RIGHT(R1,2)</f>
        <v>Inv. Jan-Dec'18</v>
      </c>
      <c r="M3" s="148"/>
      <c r="N3" s="8"/>
      <c r="O3" s="8"/>
      <c r="P3" s="182">
        <v>730.81</v>
      </c>
      <c r="Q3" s="182"/>
      <c r="R3"/>
    </row>
    <row r="4" spans="2:18" ht="12.75">
      <c r="B4" s="57"/>
      <c r="C4" s="1"/>
      <c r="D4" s="4"/>
      <c r="E4" s="1"/>
      <c r="F4" s="61"/>
      <c r="G4" s="10"/>
      <c r="H4" s="10"/>
      <c r="I4" s="151"/>
      <c r="J4" s="10"/>
      <c r="K4" s="41"/>
      <c r="L4" s="10"/>
      <c r="M4" s="62"/>
      <c r="R4"/>
    </row>
    <row r="5" spans="2:18" ht="12.75">
      <c r="B5" s="57"/>
      <c r="C5" s="1"/>
      <c r="D5" s="4"/>
      <c r="E5" s="1"/>
      <c r="F5" s="61"/>
      <c r="G5" s="10"/>
      <c r="H5" s="10"/>
      <c r="I5" s="130"/>
      <c r="J5" s="10"/>
      <c r="K5" s="41"/>
      <c r="L5" s="10"/>
      <c r="M5" s="149"/>
      <c r="N5" s="225"/>
      <c r="O5" s="225"/>
      <c r="P5" s="225"/>
      <c r="Q5" s="225"/>
      <c r="R5" s="16"/>
    </row>
    <row r="6" spans="2:18" ht="12.75">
      <c r="B6" s="5" t="s">
        <v>23</v>
      </c>
      <c r="D6" s="4"/>
      <c r="E6" s="1"/>
      <c r="F6" s="159"/>
      <c r="G6" s="154"/>
      <c r="H6" s="155"/>
      <c r="I6" s="222"/>
      <c r="J6" s="223"/>
      <c r="K6" s="223"/>
      <c r="L6" s="224"/>
      <c r="M6" s="149"/>
      <c r="N6" s="225"/>
      <c r="O6" s="225"/>
      <c r="P6" s="225"/>
      <c r="Q6" s="225"/>
      <c r="R6"/>
    </row>
    <row r="7" spans="2:18" ht="12.75">
      <c r="B7" s="57" t="s">
        <v>79</v>
      </c>
      <c r="D7" s="4"/>
      <c r="E7" s="1"/>
      <c r="F7" s="61"/>
      <c r="G7" s="250"/>
      <c r="H7" s="249"/>
      <c r="I7" s="130"/>
      <c r="J7" s="78"/>
      <c r="K7" s="190"/>
      <c r="L7" s="190"/>
      <c r="M7" s="150"/>
      <c r="N7" s="226"/>
      <c r="O7" s="226"/>
      <c r="P7" s="226"/>
      <c r="Q7" s="226"/>
      <c r="R7"/>
    </row>
    <row r="8" spans="2:18" ht="12.75">
      <c r="B8" s="5"/>
      <c r="C8" s="1"/>
      <c r="D8" s="4"/>
      <c r="E8" s="1"/>
      <c r="F8" s="61"/>
      <c r="G8" s="249"/>
      <c r="H8" s="249"/>
      <c r="I8" s="130"/>
      <c r="J8" s="38"/>
      <c r="K8" s="190"/>
      <c r="L8" s="147"/>
      <c r="M8" s="148"/>
      <c r="N8" s="8"/>
      <c r="O8" s="8"/>
      <c r="P8" s="8"/>
      <c r="Q8" s="8"/>
      <c r="R8" s="16"/>
    </row>
    <row r="9" spans="2:18" ht="12.75">
      <c r="B9" s="25"/>
      <c r="C9" s="1"/>
      <c r="D9" s="4"/>
      <c r="E9" s="1"/>
      <c r="F9" s="61"/>
      <c r="G9" s="10"/>
      <c r="H9" s="10"/>
      <c r="I9" s="169"/>
      <c r="J9" s="170"/>
      <c r="K9" s="171"/>
      <c r="L9" s="172"/>
      <c r="M9" s="148"/>
      <c r="N9" s="8"/>
      <c r="O9" s="8"/>
      <c r="P9" s="8"/>
      <c r="Q9" s="8"/>
      <c r="R9" s="16"/>
    </row>
    <row r="10" spans="2:18" ht="13.5" thickBot="1">
      <c r="B10" s="57"/>
      <c r="D10"/>
      <c r="E10" s="26"/>
      <c r="F10" s="63"/>
      <c r="G10" s="64"/>
      <c r="H10" s="31"/>
      <c r="I10" s="173"/>
      <c r="J10" s="79"/>
      <c r="K10" s="79"/>
      <c r="L10" s="174"/>
      <c r="M10" s="152"/>
      <c r="R10" s="117"/>
    </row>
    <row r="11" spans="2:18" ht="12.75">
      <c r="B11" s="184" t="s">
        <v>84</v>
      </c>
      <c r="E11" s="26"/>
      <c r="L11" s="7"/>
      <c r="M11"/>
      <c r="N11"/>
      <c r="O11"/>
      <c r="P11"/>
      <c r="Q11"/>
      <c r="R11" s="16"/>
    </row>
    <row r="12" spans="5:18" ht="12.75">
      <c r="E12" s="26"/>
      <c r="L12" s="7"/>
      <c r="R12" s="116" t="s">
        <v>62</v>
      </c>
    </row>
    <row r="13" spans="5:18" ht="12.75">
      <c r="E13" s="26"/>
      <c r="F13" s="139"/>
      <c r="G13" s="140"/>
      <c r="H13" s="140"/>
      <c r="I13" s="136" t="s">
        <v>60</v>
      </c>
      <c r="J13" s="67">
        <f aca="true" t="shared" si="0" ref="J13:R13">SUM(J56:J211)</f>
        <v>15849103.340000011</v>
      </c>
      <c r="K13" s="67">
        <f t="shared" si="0"/>
        <v>20524657.30000001</v>
      </c>
      <c r="L13" s="72">
        <f t="shared" si="0"/>
        <v>-4675553.959999999</v>
      </c>
      <c r="M13" s="68">
        <f t="shared" si="0"/>
        <v>-230661.4413967051</v>
      </c>
      <c r="N13" s="67">
        <f t="shared" si="0"/>
        <v>-4906215.401396694</v>
      </c>
      <c r="O13" s="67">
        <f t="shared" si="0"/>
        <v>114006.35999999977</v>
      </c>
      <c r="P13" s="67">
        <f t="shared" si="0"/>
        <v>18534072.409999996</v>
      </c>
      <c r="Q13" s="67">
        <f t="shared" si="0"/>
        <v>-1990584.8899999997</v>
      </c>
      <c r="R13" s="72">
        <f t="shared" si="0"/>
        <v>-2915630.5113967024</v>
      </c>
    </row>
    <row r="14" spans="5:18" ht="12.75">
      <c r="E14" s="26"/>
      <c r="F14" s="42"/>
      <c r="G14" s="42"/>
      <c r="H14" s="42"/>
      <c r="I14" s="138" t="s">
        <v>61</v>
      </c>
      <c r="J14" s="67">
        <f>SUM(J20:J211)</f>
        <v>64066973.98000003</v>
      </c>
      <c r="K14" s="67">
        <f>SUM(K20:K211)</f>
        <v>82967008.1</v>
      </c>
      <c r="L14" s="72">
        <f>SUM(L20:L211)</f>
        <v>-18900034.11999996</v>
      </c>
      <c r="M14" s="68">
        <v>-932404.8337078989</v>
      </c>
      <c r="N14" s="67">
        <f>SUM(N20:N211)</f>
        <v>-19832438.9537079</v>
      </c>
      <c r="O14" s="67">
        <f>SUM(O20:O211)</f>
        <v>140315.5199999997</v>
      </c>
      <c r="P14" s="67">
        <f>SUM(P20:P211)</f>
        <v>74920448.7700001</v>
      </c>
      <c r="Q14" s="67">
        <f>SUM(Q20:Q211)</f>
        <v>-8046559.3300000075</v>
      </c>
      <c r="R14" s="72">
        <f>SUM(R20:R211)</f>
        <v>-11785879.623707883</v>
      </c>
    </row>
    <row r="15" spans="2:18" ht="12.75">
      <c r="B15" s="58" t="s">
        <v>86</v>
      </c>
      <c r="E15" s="26"/>
      <c r="J15" s="6"/>
      <c r="L15" s="7"/>
      <c r="M15" s="17"/>
      <c r="N15" s="17"/>
      <c r="O15" s="17"/>
      <c r="P15" s="17"/>
      <c r="Q15" s="17"/>
      <c r="R15" s="73" t="s">
        <v>20</v>
      </c>
    </row>
    <row r="16" spans="2:18" ht="12.75">
      <c r="B16" s="80" t="str">
        <f>"** Actual Trued-Up CY"&amp;R1&amp;" Charge reflects "&amp;R1&amp;" True-UP Rate x MW"</f>
        <v>** Actual Trued-Up CY2018 Charge reflects 2018 True-UP Rate x MW</v>
      </c>
      <c r="E16" s="26"/>
      <c r="F16" s="10"/>
      <c r="G16" s="2"/>
      <c r="J16" s="36"/>
      <c r="L16" s="43" t="s">
        <v>11</v>
      </c>
      <c r="M16" s="17"/>
      <c r="N16" s="17"/>
      <c r="O16" s="17"/>
      <c r="P16" s="17"/>
      <c r="Q16" s="17"/>
      <c r="R16" s="18"/>
    </row>
    <row r="17" spans="2:18" ht="12.75">
      <c r="B17" s="40" t="s">
        <v>64</v>
      </c>
      <c r="E17" s="26"/>
      <c r="I17" s="22"/>
      <c r="J17" s="32"/>
      <c r="K17" s="21"/>
      <c r="L17" s="21"/>
      <c r="M17" s="21"/>
      <c r="N17" s="21"/>
      <c r="O17" s="21"/>
      <c r="P17" s="21"/>
      <c r="Q17" s="21"/>
      <c r="R17" s="56"/>
    </row>
    <row r="18" spans="9:18" ht="3" customHeight="1">
      <c r="I18" s="33"/>
      <c r="J18" s="32"/>
      <c r="K18" s="33"/>
      <c r="L18" s="33"/>
      <c r="M18" s="12"/>
      <c r="N18" s="12"/>
      <c r="O18" s="12"/>
      <c r="P18" s="12"/>
      <c r="Q18" s="12"/>
      <c r="R18" s="14"/>
    </row>
    <row r="19" spans="2:18" ht="38.25" customHeight="1">
      <c r="B19" s="49" t="s">
        <v>55</v>
      </c>
      <c r="C19" s="50" t="s">
        <v>4</v>
      </c>
      <c r="D19" s="50" t="s">
        <v>5</v>
      </c>
      <c r="E19" s="51" t="s">
        <v>0</v>
      </c>
      <c r="F19" s="55" t="s">
        <v>12</v>
      </c>
      <c r="G19" s="52" t="s">
        <v>1</v>
      </c>
      <c r="H19" s="129" t="s">
        <v>50</v>
      </c>
      <c r="I19" s="129" t="s">
        <v>48</v>
      </c>
      <c r="J19" s="142" t="str">
        <f>"True-Up Charge"</f>
        <v>True-Up Charge</v>
      </c>
      <c r="K19" s="142" t="s">
        <v>49</v>
      </c>
      <c r="L19" s="53" t="s">
        <v>3</v>
      </c>
      <c r="M19" s="54" t="s">
        <v>7</v>
      </c>
      <c r="N19" s="227" t="s">
        <v>91</v>
      </c>
      <c r="O19" s="227" t="s">
        <v>88</v>
      </c>
      <c r="P19" s="227" t="s">
        <v>89</v>
      </c>
      <c r="Q19" s="227" t="s">
        <v>90</v>
      </c>
      <c r="R19" s="24" t="s">
        <v>2</v>
      </c>
    </row>
    <row r="20" spans="1:18" s="8" customFormat="1" ht="12.75" customHeight="1">
      <c r="A20" s="10">
        <v>1</v>
      </c>
      <c r="B20" s="9">
        <f>DATE($R$1,A20,1)</f>
        <v>43101</v>
      </c>
      <c r="C20" s="193">
        <v>43136</v>
      </c>
      <c r="D20" s="193">
        <v>43151</v>
      </c>
      <c r="E20" s="60" t="s">
        <v>21</v>
      </c>
      <c r="F20" s="10">
        <v>9</v>
      </c>
      <c r="G20" s="196">
        <v>3179</v>
      </c>
      <c r="H20" s="127">
        <f aca="true" t="shared" si="1" ref="H20:H83">$K$3</f>
        <v>809.3</v>
      </c>
      <c r="I20" s="127">
        <f aca="true" t="shared" si="2" ref="I20:I63">$J$3</f>
        <v>624.94</v>
      </c>
      <c r="J20" s="28">
        <f aca="true" t="shared" si="3" ref="J20:J108">+$G20*I20</f>
        <v>1986684.2600000002</v>
      </c>
      <c r="K20" s="29">
        <f>+$G20*H20</f>
        <v>2572764.6999999997</v>
      </c>
      <c r="L20" s="30">
        <f aca="true" t="shared" si="4" ref="L20:L34">+J20-K20</f>
        <v>-586080.4399999995</v>
      </c>
      <c r="M20" s="27">
        <f>G20/$G$212*$M$14</f>
        <v>-28913.399400659506</v>
      </c>
      <c r="N20" s="19">
        <f>SUM(L20:M20)</f>
        <v>-614993.839400659</v>
      </c>
      <c r="O20" s="27">
        <f>+$P$3</f>
        <v>730.81</v>
      </c>
      <c r="P20" s="27">
        <f>+G20*O20</f>
        <v>2323244.9899999998</v>
      </c>
      <c r="Q20" s="27">
        <f>+P20-K20</f>
        <v>-249519.70999999996</v>
      </c>
      <c r="R20" s="19">
        <f>+N20-Q20</f>
        <v>-365474.129400659</v>
      </c>
    </row>
    <row r="21" spans="1:18" ht="12.75">
      <c r="A21" s="3">
        <v>2</v>
      </c>
      <c r="B21" s="9">
        <f aca="true" t="shared" si="5" ref="B21:B108">DATE($R$1,A21,1)</f>
        <v>43132</v>
      </c>
      <c r="C21" s="193">
        <v>43164</v>
      </c>
      <c r="D21" s="193">
        <v>43179</v>
      </c>
      <c r="E21" s="35" t="s">
        <v>21</v>
      </c>
      <c r="F21" s="3">
        <v>9</v>
      </c>
      <c r="G21" s="196">
        <v>2790</v>
      </c>
      <c r="H21" s="127">
        <f t="shared" si="1"/>
        <v>809.3</v>
      </c>
      <c r="I21" s="127">
        <f t="shared" si="2"/>
        <v>624.94</v>
      </c>
      <c r="J21" s="28">
        <f t="shared" si="3"/>
        <v>1743582.6</v>
      </c>
      <c r="K21" s="29">
        <f aca="true" t="shared" si="6" ref="K21:K33">+$G21*H21</f>
        <v>2257947</v>
      </c>
      <c r="L21" s="30">
        <f t="shared" si="4"/>
        <v>-514364.3999999999</v>
      </c>
      <c r="M21" s="27">
        <f aca="true" t="shared" si="7" ref="M21:M84">G21/$G$212*$M$14</f>
        <v>-25375.396139616238</v>
      </c>
      <c r="N21" s="19">
        <f aca="true" t="shared" si="8" ref="N21:N84">SUM(L21:M21)</f>
        <v>-539739.7961396162</v>
      </c>
      <c r="O21" s="27">
        <f aca="true" t="shared" si="9" ref="O21:O84">+$P$3</f>
        <v>730.81</v>
      </c>
      <c r="P21" s="27">
        <f aca="true" t="shared" si="10" ref="P21:P84">+G21*O21</f>
        <v>2038959.9</v>
      </c>
      <c r="Q21" s="27">
        <f aca="true" t="shared" si="11" ref="Q21:Q84">+P21-K21</f>
        <v>-218987.1000000001</v>
      </c>
      <c r="R21" s="19">
        <f aca="true" t="shared" si="12" ref="R21:R84">+N21-Q21</f>
        <v>-320752.6961396161</v>
      </c>
    </row>
    <row r="22" spans="1:18" ht="12.75">
      <c r="A22" s="3">
        <v>3</v>
      </c>
      <c r="B22" s="9">
        <f t="shared" si="5"/>
        <v>43160</v>
      </c>
      <c r="C22" s="193">
        <v>43194</v>
      </c>
      <c r="D22" s="193">
        <v>43209</v>
      </c>
      <c r="E22" s="35" t="s">
        <v>21</v>
      </c>
      <c r="F22" s="3">
        <v>9</v>
      </c>
      <c r="G22" s="196">
        <v>2269</v>
      </c>
      <c r="H22" s="127">
        <f t="shared" si="1"/>
        <v>809.3</v>
      </c>
      <c r="I22" s="127">
        <f t="shared" si="2"/>
        <v>624.94</v>
      </c>
      <c r="J22" s="28">
        <f t="shared" si="3"/>
        <v>1417988.86</v>
      </c>
      <c r="K22" s="29">
        <f t="shared" si="6"/>
        <v>1836301.7</v>
      </c>
      <c r="L22" s="30">
        <f t="shared" si="4"/>
        <v>-418312.83999999985</v>
      </c>
      <c r="M22" s="27">
        <f t="shared" si="7"/>
        <v>-20636.836502074995</v>
      </c>
      <c r="N22" s="19">
        <f t="shared" si="8"/>
        <v>-438949.6765020749</v>
      </c>
      <c r="O22" s="27">
        <f t="shared" si="9"/>
        <v>730.81</v>
      </c>
      <c r="P22" s="27">
        <f t="shared" si="10"/>
        <v>1658207.89</v>
      </c>
      <c r="Q22" s="27">
        <f t="shared" si="11"/>
        <v>-178093.81000000006</v>
      </c>
      <c r="R22" s="19">
        <f t="shared" si="12"/>
        <v>-260855.86650207482</v>
      </c>
    </row>
    <row r="23" spans="1:18" ht="12.75">
      <c r="A23" s="10">
        <v>4</v>
      </c>
      <c r="B23" s="9">
        <f t="shared" si="5"/>
        <v>43191</v>
      </c>
      <c r="C23" s="193">
        <v>43223</v>
      </c>
      <c r="D23" s="193">
        <v>43238</v>
      </c>
      <c r="E23" s="35" t="s">
        <v>21</v>
      </c>
      <c r="F23" s="3">
        <v>9</v>
      </c>
      <c r="G23" s="196">
        <v>2377</v>
      </c>
      <c r="H23" s="127">
        <f t="shared" si="1"/>
        <v>809.3</v>
      </c>
      <c r="I23" s="127">
        <f t="shared" si="2"/>
        <v>624.94</v>
      </c>
      <c r="J23" s="28">
        <f t="shared" si="3"/>
        <v>1485482.3800000001</v>
      </c>
      <c r="K23" s="29">
        <f t="shared" si="6"/>
        <v>1923706.0999999999</v>
      </c>
      <c r="L23" s="30">
        <f t="shared" si="4"/>
        <v>-438223.71999999974</v>
      </c>
      <c r="M23" s="27">
        <f t="shared" si="7"/>
        <v>-21619.109901027885</v>
      </c>
      <c r="N23" s="19">
        <f t="shared" si="8"/>
        <v>-459842.8299010276</v>
      </c>
      <c r="O23" s="27">
        <f t="shared" si="9"/>
        <v>730.81</v>
      </c>
      <c r="P23" s="27">
        <f t="shared" si="10"/>
        <v>1737135.3699999999</v>
      </c>
      <c r="Q23" s="27">
        <f t="shared" si="11"/>
        <v>-186570.72999999998</v>
      </c>
      <c r="R23" s="19">
        <f t="shared" si="12"/>
        <v>-273272.0999010276</v>
      </c>
    </row>
    <row r="24" spans="1:18" ht="12" customHeight="1">
      <c r="A24" s="3">
        <v>5</v>
      </c>
      <c r="B24" s="9">
        <f t="shared" si="5"/>
        <v>43221</v>
      </c>
      <c r="C24" s="193">
        <v>43256</v>
      </c>
      <c r="D24" s="193">
        <v>43271</v>
      </c>
      <c r="E24" s="20" t="s">
        <v>21</v>
      </c>
      <c r="F24" s="3">
        <v>9</v>
      </c>
      <c r="G24" s="196">
        <v>3597</v>
      </c>
      <c r="H24" s="127">
        <f t="shared" si="1"/>
        <v>809.3</v>
      </c>
      <c r="I24" s="127">
        <f t="shared" si="2"/>
        <v>624.94</v>
      </c>
      <c r="J24" s="28">
        <f t="shared" si="3"/>
        <v>2247909.18</v>
      </c>
      <c r="K24" s="29">
        <f t="shared" si="6"/>
        <v>2911052.0999999996</v>
      </c>
      <c r="L24" s="30">
        <f t="shared" si="4"/>
        <v>-663142.9199999995</v>
      </c>
      <c r="M24" s="27">
        <f t="shared" si="7"/>
        <v>-32715.16125956975</v>
      </c>
      <c r="N24" s="19">
        <f t="shared" si="8"/>
        <v>-695858.0812595692</v>
      </c>
      <c r="O24" s="27">
        <f t="shared" si="9"/>
        <v>730.81</v>
      </c>
      <c r="P24" s="27">
        <f t="shared" si="10"/>
        <v>2628723.57</v>
      </c>
      <c r="Q24" s="27">
        <f t="shared" si="11"/>
        <v>-282328.5299999998</v>
      </c>
      <c r="R24" s="19">
        <f t="shared" si="12"/>
        <v>-413529.55125956936</v>
      </c>
    </row>
    <row r="25" spans="1:18" ht="12.75">
      <c r="A25" s="3">
        <v>6</v>
      </c>
      <c r="B25" s="9">
        <f t="shared" si="5"/>
        <v>43252</v>
      </c>
      <c r="C25" s="193">
        <v>43286</v>
      </c>
      <c r="D25" s="193">
        <v>43301</v>
      </c>
      <c r="E25" s="20" t="s">
        <v>21</v>
      </c>
      <c r="F25" s="3">
        <v>9</v>
      </c>
      <c r="G25" s="196">
        <v>3911</v>
      </c>
      <c r="H25" s="127">
        <f t="shared" si="1"/>
        <v>809.3</v>
      </c>
      <c r="I25" s="127">
        <f t="shared" si="2"/>
        <v>624.94</v>
      </c>
      <c r="J25" s="28">
        <f t="shared" si="3"/>
        <v>2444140.3400000003</v>
      </c>
      <c r="K25" s="29">
        <f t="shared" si="6"/>
        <v>3165172.3</v>
      </c>
      <c r="L25" s="39">
        <f t="shared" si="4"/>
        <v>-721031.9599999995</v>
      </c>
      <c r="M25" s="27">
        <f t="shared" si="7"/>
        <v>-35571.03021578462</v>
      </c>
      <c r="N25" s="19">
        <f t="shared" si="8"/>
        <v>-756602.9902157842</v>
      </c>
      <c r="O25" s="27">
        <f t="shared" si="9"/>
        <v>730.81</v>
      </c>
      <c r="P25" s="27">
        <f t="shared" si="10"/>
        <v>2858197.9099999997</v>
      </c>
      <c r="Q25" s="27">
        <f t="shared" si="11"/>
        <v>-306974.39000000013</v>
      </c>
      <c r="R25" s="19">
        <f t="shared" si="12"/>
        <v>-449628.60021578404</v>
      </c>
    </row>
    <row r="26" spans="1:18" ht="12.75">
      <c r="A26" s="10">
        <v>7</v>
      </c>
      <c r="B26" s="9">
        <f t="shared" si="5"/>
        <v>43282</v>
      </c>
      <c r="C26" s="193">
        <v>43315</v>
      </c>
      <c r="D26" s="193">
        <v>43330</v>
      </c>
      <c r="E26" s="20" t="s">
        <v>21</v>
      </c>
      <c r="F26" s="3">
        <v>9</v>
      </c>
      <c r="G26" s="196">
        <v>4095</v>
      </c>
      <c r="H26" s="127">
        <f t="shared" si="1"/>
        <v>809.3</v>
      </c>
      <c r="I26" s="127">
        <f t="shared" si="2"/>
        <v>624.94</v>
      </c>
      <c r="J26" s="28">
        <f t="shared" si="3"/>
        <v>2559129.3000000003</v>
      </c>
      <c r="K26" s="37">
        <f t="shared" si="6"/>
        <v>3314083.5</v>
      </c>
      <c r="L26" s="39">
        <f t="shared" si="4"/>
        <v>-754954.1999999997</v>
      </c>
      <c r="M26" s="27">
        <f t="shared" si="7"/>
        <v>-37244.53304363028</v>
      </c>
      <c r="N26" s="19">
        <f t="shared" si="8"/>
        <v>-792198.73304363</v>
      </c>
      <c r="O26" s="27">
        <f t="shared" si="9"/>
        <v>730.81</v>
      </c>
      <c r="P26" s="27">
        <f t="shared" si="10"/>
        <v>2992666.9499999997</v>
      </c>
      <c r="Q26" s="27">
        <f t="shared" si="11"/>
        <v>-321416.5500000003</v>
      </c>
      <c r="R26" s="19">
        <f t="shared" si="12"/>
        <v>-470782.18304362975</v>
      </c>
    </row>
    <row r="27" spans="1:18" ht="12.75">
      <c r="A27" s="3">
        <v>8</v>
      </c>
      <c r="B27" s="9">
        <f t="shared" si="5"/>
        <v>43313</v>
      </c>
      <c r="C27" s="193">
        <v>43348</v>
      </c>
      <c r="D27" s="193">
        <v>43363</v>
      </c>
      <c r="E27" s="20" t="s">
        <v>21</v>
      </c>
      <c r="F27" s="3">
        <v>9</v>
      </c>
      <c r="G27" s="196">
        <v>3816</v>
      </c>
      <c r="H27" s="127">
        <f t="shared" si="1"/>
        <v>809.3</v>
      </c>
      <c r="I27" s="127">
        <f t="shared" si="2"/>
        <v>624.94</v>
      </c>
      <c r="J27" s="28">
        <f t="shared" si="3"/>
        <v>2384771.04</v>
      </c>
      <c r="K27" s="37">
        <f t="shared" si="6"/>
        <v>3088288.8</v>
      </c>
      <c r="L27" s="39">
        <f t="shared" si="4"/>
        <v>-703517.7599999998</v>
      </c>
      <c r="M27" s="27">
        <f t="shared" si="7"/>
        <v>-34706.993429668655</v>
      </c>
      <c r="N27" s="19">
        <f t="shared" si="8"/>
        <v>-738224.7534296685</v>
      </c>
      <c r="O27" s="27">
        <f t="shared" si="9"/>
        <v>730.81</v>
      </c>
      <c r="P27" s="27">
        <f t="shared" si="10"/>
        <v>2788770.96</v>
      </c>
      <c r="Q27" s="27">
        <f t="shared" si="11"/>
        <v>-299517.83999999985</v>
      </c>
      <c r="R27" s="19">
        <f t="shared" si="12"/>
        <v>-438706.91342966864</v>
      </c>
    </row>
    <row r="28" spans="1:18" ht="12.75">
      <c r="A28" s="3">
        <v>9</v>
      </c>
      <c r="B28" s="9">
        <f t="shared" si="5"/>
        <v>43344</v>
      </c>
      <c r="C28" s="193">
        <v>43376</v>
      </c>
      <c r="D28" s="193">
        <v>43391</v>
      </c>
      <c r="E28" s="20" t="s">
        <v>21</v>
      </c>
      <c r="F28" s="3">
        <v>9</v>
      </c>
      <c r="G28" s="196">
        <v>3735</v>
      </c>
      <c r="H28" s="127">
        <f t="shared" si="1"/>
        <v>809.3</v>
      </c>
      <c r="I28" s="127">
        <f t="shared" si="2"/>
        <v>624.94</v>
      </c>
      <c r="J28" s="28">
        <f t="shared" si="3"/>
        <v>2334150.9000000004</v>
      </c>
      <c r="K28" s="37">
        <f t="shared" si="6"/>
        <v>3022735.5</v>
      </c>
      <c r="L28" s="39">
        <f t="shared" si="4"/>
        <v>-688584.5999999996</v>
      </c>
      <c r="M28" s="27">
        <f t="shared" si="7"/>
        <v>-33970.288380453996</v>
      </c>
      <c r="N28" s="19">
        <f t="shared" si="8"/>
        <v>-722554.8883804536</v>
      </c>
      <c r="O28" s="27">
        <f t="shared" si="9"/>
        <v>730.81</v>
      </c>
      <c r="P28" s="27">
        <f t="shared" si="10"/>
        <v>2729575.3499999996</v>
      </c>
      <c r="Q28" s="27">
        <f t="shared" si="11"/>
        <v>-293160.1500000004</v>
      </c>
      <c r="R28" s="19">
        <f t="shared" si="12"/>
        <v>-429394.7383804532</v>
      </c>
    </row>
    <row r="29" spans="1:18" ht="12.75">
      <c r="A29" s="10">
        <v>10</v>
      </c>
      <c r="B29" s="9">
        <f t="shared" si="5"/>
        <v>43374</v>
      </c>
      <c r="C29" s="193">
        <v>43409</v>
      </c>
      <c r="D29" s="193">
        <v>43424</v>
      </c>
      <c r="E29" s="20" t="s">
        <v>21</v>
      </c>
      <c r="F29" s="3">
        <v>9</v>
      </c>
      <c r="G29" s="196">
        <v>3357</v>
      </c>
      <c r="H29" s="127">
        <f t="shared" si="1"/>
        <v>809.3</v>
      </c>
      <c r="I29" s="127">
        <f t="shared" si="2"/>
        <v>624.94</v>
      </c>
      <c r="J29" s="28">
        <f t="shared" si="3"/>
        <v>2097923.58</v>
      </c>
      <c r="K29" s="37">
        <f t="shared" si="6"/>
        <v>2716820.0999999996</v>
      </c>
      <c r="L29" s="39">
        <f t="shared" si="4"/>
        <v>-618896.5199999996</v>
      </c>
      <c r="M29" s="27">
        <f t="shared" si="7"/>
        <v>-30532.331484118888</v>
      </c>
      <c r="N29" s="19">
        <f t="shared" si="8"/>
        <v>-649428.8514841185</v>
      </c>
      <c r="O29" s="27">
        <f t="shared" si="9"/>
        <v>730.81</v>
      </c>
      <c r="P29" s="27">
        <f t="shared" si="10"/>
        <v>2453329.17</v>
      </c>
      <c r="Q29" s="27">
        <f t="shared" si="11"/>
        <v>-263490.9299999997</v>
      </c>
      <c r="R29" s="19">
        <f t="shared" si="12"/>
        <v>-385937.9214841188</v>
      </c>
    </row>
    <row r="30" spans="1:18" ht="12.75">
      <c r="A30" s="3">
        <v>11</v>
      </c>
      <c r="B30" s="9">
        <f t="shared" si="5"/>
        <v>43405</v>
      </c>
      <c r="C30" s="193">
        <v>43439</v>
      </c>
      <c r="D30" s="193">
        <v>43454</v>
      </c>
      <c r="E30" s="20" t="s">
        <v>21</v>
      </c>
      <c r="F30" s="3">
        <v>9</v>
      </c>
      <c r="G30" s="196">
        <v>2564</v>
      </c>
      <c r="H30" s="127">
        <f t="shared" si="1"/>
        <v>809.3</v>
      </c>
      <c r="I30" s="127">
        <f t="shared" si="2"/>
        <v>624.94</v>
      </c>
      <c r="J30" s="28">
        <f t="shared" si="3"/>
        <v>1602346.1600000001</v>
      </c>
      <c r="K30" s="37">
        <f t="shared" si="6"/>
        <v>2075045.2</v>
      </c>
      <c r="L30" s="39">
        <f t="shared" si="4"/>
        <v>-472699.0399999998</v>
      </c>
      <c r="M30" s="27">
        <f t="shared" si="7"/>
        <v>-23319.89810106668</v>
      </c>
      <c r="N30" s="19">
        <f t="shared" si="8"/>
        <v>-496018.9381010665</v>
      </c>
      <c r="O30" s="27">
        <f t="shared" si="9"/>
        <v>730.81</v>
      </c>
      <c r="P30" s="27">
        <f t="shared" si="10"/>
        <v>1873796.8399999999</v>
      </c>
      <c r="Q30" s="27">
        <f t="shared" si="11"/>
        <v>-201248.3600000001</v>
      </c>
      <c r="R30" s="19">
        <f t="shared" si="12"/>
        <v>-294770.5781010664</v>
      </c>
    </row>
    <row r="31" spans="1:18" ht="12.75">
      <c r="A31" s="3">
        <v>12</v>
      </c>
      <c r="B31" s="9">
        <f t="shared" si="5"/>
        <v>43435</v>
      </c>
      <c r="C31" s="194">
        <v>43468</v>
      </c>
      <c r="D31" s="195">
        <v>43483</v>
      </c>
      <c r="E31" s="20" t="s">
        <v>21</v>
      </c>
      <c r="F31" s="3">
        <v>9</v>
      </c>
      <c r="G31" s="197">
        <v>2578</v>
      </c>
      <c r="H31" s="127">
        <f t="shared" si="1"/>
        <v>809.3</v>
      </c>
      <c r="I31" s="128">
        <f t="shared" si="2"/>
        <v>624.94</v>
      </c>
      <c r="J31" s="46">
        <f t="shared" si="3"/>
        <v>1611095.32</v>
      </c>
      <c r="K31" s="47">
        <f t="shared" si="6"/>
        <v>2086375.4</v>
      </c>
      <c r="L31" s="48">
        <f t="shared" si="4"/>
        <v>-475280.07999999984</v>
      </c>
      <c r="M31" s="27">
        <f t="shared" si="7"/>
        <v>-23447.229837967978</v>
      </c>
      <c r="N31" s="19">
        <f t="shared" si="8"/>
        <v>-498727.3098379678</v>
      </c>
      <c r="O31" s="27">
        <f t="shared" si="9"/>
        <v>730.81</v>
      </c>
      <c r="P31" s="27">
        <f t="shared" si="10"/>
        <v>1884028.18</v>
      </c>
      <c r="Q31" s="27">
        <f t="shared" si="11"/>
        <v>-202347.21999999997</v>
      </c>
      <c r="R31" s="19">
        <f t="shared" si="12"/>
        <v>-296380.0898379678</v>
      </c>
    </row>
    <row r="32" spans="1:18" ht="12.75">
      <c r="A32" s="10">
        <v>1</v>
      </c>
      <c r="B32" s="74">
        <f t="shared" si="5"/>
        <v>43101</v>
      </c>
      <c r="C32" s="125">
        <f aca="true" t="shared" si="13" ref="C32:D43">+C20</f>
        <v>43136</v>
      </c>
      <c r="D32" s="125">
        <f t="shared" si="13"/>
        <v>43151</v>
      </c>
      <c r="E32" s="75" t="s">
        <v>22</v>
      </c>
      <c r="F32" s="76">
        <v>9</v>
      </c>
      <c r="G32" s="196">
        <v>3410</v>
      </c>
      <c r="H32" s="127">
        <f t="shared" si="1"/>
        <v>809.3</v>
      </c>
      <c r="I32" s="127">
        <f t="shared" si="2"/>
        <v>624.94</v>
      </c>
      <c r="J32" s="28">
        <f t="shared" si="3"/>
        <v>2131045.4000000004</v>
      </c>
      <c r="K32" s="29">
        <f t="shared" si="6"/>
        <v>2759713</v>
      </c>
      <c r="L32" s="30">
        <f t="shared" si="4"/>
        <v>-628667.5999999996</v>
      </c>
      <c r="M32" s="27">
        <f t="shared" si="7"/>
        <v>-31014.37305953096</v>
      </c>
      <c r="N32" s="19">
        <f t="shared" si="8"/>
        <v>-659681.9730595306</v>
      </c>
      <c r="O32" s="27">
        <f t="shared" si="9"/>
        <v>730.81</v>
      </c>
      <c r="P32" s="27">
        <f t="shared" si="10"/>
        <v>2492062.0999999996</v>
      </c>
      <c r="Q32" s="27">
        <f t="shared" si="11"/>
        <v>-267650.9000000004</v>
      </c>
      <c r="R32" s="19">
        <f t="shared" si="12"/>
        <v>-392031.07305953023</v>
      </c>
    </row>
    <row r="33" spans="1:18" ht="12.75">
      <c r="A33" s="3">
        <v>2</v>
      </c>
      <c r="B33" s="9">
        <f t="shared" si="5"/>
        <v>43132</v>
      </c>
      <c r="C33" s="126">
        <f t="shared" si="13"/>
        <v>43164</v>
      </c>
      <c r="D33" s="126">
        <f t="shared" si="13"/>
        <v>43179</v>
      </c>
      <c r="E33" s="35" t="s">
        <v>22</v>
      </c>
      <c r="F33" s="3">
        <v>9</v>
      </c>
      <c r="G33" s="196">
        <v>2792</v>
      </c>
      <c r="H33" s="127">
        <f t="shared" si="1"/>
        <v>809.3</v>
      </c>
      <c r="I33" s="127">
        <f t="shared" si="2"/>
        <v>624.94</v>
      </c>
      <c r="J33" s="28">
        <f t="shared" si="3"/>
        <v>1744832.4800000002</v>
      </c>
      <c r="K33" s="29">
        <f t="shared" si="6"/>
        <v>2259565.6</v>
      </c>
      <c r="L33" s="30">
        <f t="shared" si="4"/>
        <v>-514733.1199999999</v>
      </c>
      <c r="M33" s="27">
        <f t="shared" si="7"/>
        <v>-25393.586387744992</v>
      </c>
      <c r="N33" s="19">
        <f t="shared" si="8"/>
        <v>-540126.7063877449</v>
      </c>
      <c r="O33" s="27">
        <f t="shared" si="9"/>
        <v>730.81</v>
      </c>
      <c r="P33" s="27">
        <f t="shared" si="10"/>
        <v>2040421.5199999998</v>
      </c>
      <c r="Q33" s="27">
        <f t="shared" si="11"/>
        <v>-219144.0800000003</v>
      </c>
      <c r="R33" s="19">
        <f t="shared" si="12"/>
        <v>-320982.62638774456</v>
      </c>
    </row>
    <row r="34" spans="1:18" ht="12.75">
      <c r="A34" s="3">
        <v>3</v>
      </c>
      <c r="B34" s="9">
        <f t="shared" si="5"/>
        <v>43160</v>
      </c>
      <c r="C34" s="126">
        <f t="shared" si="13"/>
        <v>43194</v>
      </c>
      <c r="D34" s="126">
        <f t="shared" si="13"/>
        <v>43209</v>
      </c>
      <c r="E34" s="35" t="s">
        <v>22</v>
      </c>
      <c r="F34" s="3">
        <v>9</v>
      </c>
      <c r="G34" s="196">
        <v>2328</v>
      </c>
      <c r="H34" s="127">
        <f t="shared" si="1"/>
        <v>809.3</v>
      </c>
      <c r="I34" s="127">
        <f t="shared" si="2"/>
        <v>624.94</v>
      </c>
      <c r="J34" s="28">
        <f t="shared" si="3"/>
        <v>1454860.32</v>
      </c>
      <c r="K34" s="29">
        <f aca="true" t="shared" si="14" ref="K34:K93">+$G34*H34</f>
        <v>1884050.4</v>
      </c>
      <c r="L34" s="30">
        <f t="shared" si="4"/>
        <v>-429190.07999999984</v>
      </c>
      <c r="M34" s="27">
        <f t="shared" si="7"/>
        <v>-21173.448821873335</v>
      </c>
      <c r="N34" s="19">
        <f t="shared" si="8"/>
        <v>-450363.5288218732</v>
      </c>
      <c r="O34" s="27">
        <f t="shared" si="9"/>
        <v>730.81</v>
      </c>
      <c r="P34" s="27">
        <f t="shared" si="10"/>
        <v>1701325.68</v>
      </c>
      <c r="Q34" s="27">
        <f t="shared" si="11"/>
        <v>-182724.71999999997</v>
      </c>
      <c r="R34" s="19">
        <f t="shared" si="12"/>
        <v>-267638.8088218732</v>
      </c>
    </row>
    <row r="35" spans="1:18" ht="12.75">
      <c r="A35" s="10">
        <v>4</v>
      </c>
      <c r="B35" s="9">
        <f t="shared" si="5"/>
        <v>43191</v>
      </c>
      <c r="C35" s="126">
        <f t="shared" si="13"/>
        <v>43223</v>
      </c>
      <c r="D35" s="126">
        <f t="shared" si="13"/>
        <v>43238</v>
      </c>
      <c r="E35" s="35" t="s">
        <v>22</v>
      </c>
      <c r="F35" s="3">
        <v>9</v>
      </c>
      <c r="G35" s="196">
        <v>2312</v>
      </c>
      <c r="H35" s="127">
        <f t="shared" si="1"/>
        <v>809.3</v>
      </c>
      <c r="I35" s="127">
        <f t="shared" si="2"/>
        <v>624.94</v>
      </c>
      <c r="J35" s="28">
        <f t="shared" si="3"/>
        <v>1444861.28</v>
      </c>
      <c r="K35" s="29">
        <f t="shared" si="14"/>
        <v>1871101.5999999999</v>
      </c>
      <c r="L35" s="30">
        <f aca="true" t="shared" si="15" ref="L35:L57">+J35-K35</f>
        <v>-426240.31999999983</v>
      </c>
      <c r="M35" s="27">
        <f t="shared" si="7"/>
        <v>-21027.926836843275</v>
      </c>
      <c r="N35" s="19">
        <f t="shared" si="8"/>
        <v>-447268.2468368431</v>
      </c>
      <c r="O35" s="27">
        <f t="shared" si="9"/>
        <v>730.81</v>
      </c>
      <c r="P35" s="27">
        <f t="shared" si="10"/>
        <v>1689632.72</v>
      </c>
      <c r="Q35" s="27">
        <f t="shared" si="11"/>
        <v>-181468.8799999999</v>
      </c>
      <c r="R35" s="19">
        <f t="shared" si="12"/>
        <v>-265799.3668368432</v>
      </c>
    </row>
    <row r="36" spans="1:18" ht="12.75">
      <c r="A36" s="3">
        <v>5</v>
      </c>
      <c r="B36" s="9">
        <f t="shared" si="5"/>
        <v>43221</v>
      </c>
      <c r="C36" s="126">
        <f t="shared" si="13"/>
        <v>43256</v>
      </c>
      <c r="D36" s="126">
        <f t="shared" si="13"/>
        <v>43271</v>
      </c>
      <c r="E36" s="20" t="s">
        <v>22</v>
      </c>
      <c r="F36" s="3">
        <v>9</v>
      </c>
      <c r="G36" s="196">
        <v>3370</v>
      </c>
      <c r="H36" s="127">
        <f t="shared" si="1"/>
        <v>809.3</v>
      </c>
      <c r="I36" s="127">
        <f t="shared" si="2"/>
        <v>624.94</v>
      </c>
      <c r="J36" s="28">
        <f t="shared" si="3"/>
        <v>2106047.8000000003</v>
      </c>
      <c r="K36" s="29">
        <f t="shared" si="14"/>
        <v>2727341</v>
      </c>
      <c r="L36" s="30">
        <f t="shared" si="15"/>
        <v>-621293.1999999997</v>
      </c>
      <c r="M36" s="27">
        <f t="shared" si="7"/>
        <v>-30650.568096955816</v>
      </c>
      <c r="N36" s="19">
        <f t="shared" si="8"/>
        <v>-651943.7680969555</v>
      </c>
      <c r="O36" s="27">
        <f t="shared" si="9"/>
        <v>730.81</v>
      </c>
      <c r="P36" s="27">
        <f t="shared" si="10"/>
        <v>2462829.6999999997</v>
      </c>
      <c r="Q36" s="27">
        <f t="shared" si="11"/>
        <v>-264511.3000000003</v>
      </c>
      <c r="R36" s="19">
        <f t="shared" si="12"/>
        <v>-387432.4680969552</v>
      </c>
    </row>
    <row r="37" spans="1:18" ht="12.75">
      <c r="A37" s="3">
        <v>6</v>
      </c>
      <c r="B37" s="9">
        <f t="shared" si="5"/>
        <v>43252</v>
      </c>
      <c r="C37" s="126">
        <f t="shared" si="13"/>
        <v>43286</v>
      </c>
      <c r="D37" s="126">
        <f t="shared" si="13"/>
        <v>43301</v>
      </c>
      <c r="E37" s="20" t="s">
        <v>22</v>
      </c>
      <c r="F37" s="3">
        <v>9</v>
      </c>
      <c r="G37" s="196">
        <v>3563</v>
      </c>
      <c r="H37" s="127">
        <f t="shared" si="1"/>
        <v>809.3</v>
      </c>
      <c r="I37" s="127">
        <f t="shared" si="2"/>
        <v>624.94</v>
      </c>
      <c r="J37" s="28">
        <f t="shared" si="3"/>
        <v>2226661.22</v>
      </c>
      <c r="K37" s="29">
        <f t="shared" si="14"/>
        <v>2883535.9</v>
      </c>
      <c r="L37" s="39">
        <f t="shared" si="15"/>
        <v>-656874.6799999997</v>
      </c>
      <c r="M37" s="27">
        <f t="shared" si="7"/>
        <v>-32405.927041380877</v>
      </c>
      <c r="N37" s="19">
        <f t="shared" si="8"/>
        <v>-689280.6070413806</v>
      </c>
      <c r="O37" s="27">
        <f t="shared" si="9"/>
        <v>730.81</v>
      </c>
      <c r="P37" s="27">
        <f t="shared" si="10"/>
        <v>2603876.03</v>
      </c>
      <c r="Q37" s="27">
        <f t="shared" si="11"/>
        <v>-279659.8700000001</v>
      </c>
      <c r="R37" s="19">
        <f t="shared" si="12"/>
        <v>-409620.7370413805</v>
      </c>
    </row>
    <row r="38" spans="1:18" ht="12.75">
      <c r="A38" s="10">
        <v>7</v>
      </c>
      <c r="B38" s="9">
        <f t="shared" si="5"/>
        <v>43282</v>
      </c>
      <c r="C38" s="126">
        <f t="shared" si="13"/>
        <v>43315</v>
      </c>
      <c r="D38" s="126">
        <f t="shared" si="13"/>
        <v>43330</v>
      </c>
      <c r="E38" s="20" t="s">
        <v>22</v>
      </c>
      <c r="F38" s="3">
        <v>9</v>
      </c>
      <c r="G38" s="196">
        <v>3686</v>
      </c>
      <c r="H38" s="127">
        <f t="shared" si="1"/>
        <v>809.3</v>
      </c>
      <c r="I38" s="127">
        <f t="shared" si="2"/>
        <v>624.94</v>
      </c>
      <c r="J38" s="28">
        <f t="shared" si="3"/>
        <v>2303528.8400000003</v>
      </c>
      <c r="K38" s="37">
        <f t="shared" si="14"/>
        <v>2983079.8</v>
      </c>
      <c r="L38" s="39">
        <f t="shared" si="15"/>
        <v>-679550.9599999995</v>
      </c>
      <c r="M38" s="27">
        <f t="shared" si="7"/>
        <v>-33524.62730129944</v>
      </c>
      <c r="N38" s="19">
        <f t="shared" si="8"/>
        <v>-713075.587301299</v>
      </c>
      <c r="O38" s="27">
        <f t="shared" si="9"/>
        <v>730.81</v>
      </c>
      <c r="P38" s="27">
        <f t="shared" si="10"/>
        <v>2693765.6599999997</v>
      </c>
      <c r="Q38" s="27">
        <f t="shared" si="11"/>
        <v>-289314.14000000013</v>
      </c>
      <c r="R38" s="19">
        <f t="shared" si="12"/>
        <v>-423761.44730129885</v>
      </c>
    </row>
    <row r="39" spans="1:18" ht="12.75">
      <c r="A39" s="3">
        <v>8</v>
      </c>
      <c r="B39" s="9">
        <f t="shared" si="5"/>
        <v>43313</v>
      </c>
      <c r="C39" s="126">
        <f t="shared" si="13"/>
        <v>43348</v>
      </c>
      <c r="D39" s="126">
        <f t="shared" si="13"/>
        <v>43363</v>
      </c>
      <c r="E39" s="20" t="s">
        <v>22</v>
      </c>
      <c r="F39" s="3">
        <v>9</v>
      </c>
      <c r="G39" s="196">
        <v>3463</v>
      </c>
      <c r="H39" s="127">
        <f t="shared" si="1"/>
        <v>809.3</v>
      </c>
      <c r="I39" s="127">
        <f t="shared" si="2"/>
        <v>624.94</v>
      </c>
      <c r="J39" s="28">
        <f t="shared" si="3"/>
        <v>2164167.22</v>
      </c>
      <c r="K39" s="37">
        <f t="shared" si="14"/>
        <v>2802605.9</v>
      </c>
      <c r="L39" s="39">
        <f t="shared" si="15"/>
        <v>-638438.6799999997</v>
      </c>
      <c r="M39" s="27">
        <f t="shared" si="7"/>
        <v>-31496.414634943023</v>
      </c>
      <c r="N39" s="19">
        <f t="shared" si="8"/>
        <v>-669935.0946349427</v>
      </c>
      <c r="O39" s="27">
        <f t="shared" si="9"/>
        <v>730.81</v>
      </c>
      <c r="P39" s="27">
        <f t="shared" si="10"/>
        <v>2530795.03</v>
      </c>
      <c r="Q39" s="27">
        <f t="shared" si="11"/>
        <v>-271810.8700000001</v>
      </c>
      <c r="R39" s="19">
        <f t="shared" si="12"/>
        <v>-398124.2246349426</v>
      </c>
    </row>
    <row r="40" spans="1:18" ht="12.75">
      <c r="A40" s="3">
        <v>9</v>
      </c>
      <c r="B40" s="9">
        <f t="shared" si="5"/>
        <v>43344</v>
      </c>
      <c r="C40" s="126">
        <f t="shared" si="13"/>
        <v>43376</v>
      </c>
      <c r="D40" s="126">
        <f t="shared" si="13"/>
        <v>43391</v>
      </c>
      <c r="E40" s="20" t="s">
        <v>22</v>
      </c>
      <c r="F40" s="3">
        <v>9</v>
      </c>
      <c r="G40" s="196">
        <v>3456</v>
      </c>
      <c r="H40" s="127">
        <f t="shared" si="1"/>
        <v>809.3</v>
      </c>
      <c r="I40" s="127">
        <f t="shared" si="2"/>
        <v>624.94</v>
      </c>
      <c r="J40" s="28">
        <f t="shared" si="3"/>
        <v>2159792.64</v>
      </c>
      <c r="K40" s="37">
        <f t="shared" si="14"/>
        <v>2796940.8</v>
      </c>
      <c r="L40" s="39">
        <f t="shared" si="15"/>
        <v>-637148.1599999997</v>
      </c>
      <c r="M40" s="27">
        <f t="shared" si="7"/>
        <v>-31432.748766492372</v>
      </c>
      <c r="N40" s="19">
        <f t="shared" si="8"/>
        <v>-668580.908766492</v>
      </c>
      <c r="O40" s="27">
        <f t="shared" si="9"/>
        <v>730.81</v>
      </c>
      <c r="P40" s="27">
        <f t="shared" si="10"/>
        <v>2525679.36</v>
      </c>
      <c r="Q40" s="27">
        <f t="shared" si="11"/>
        <v>-271261.43999999994</v>
      </c>
      <c r="R40" s="19">
        <f t="shared" si="12"/>
        <v>-397319.4687664921</v>
      </c>
    </row>
    <row r="41" spans="1:18" ht="12.75">
      <c r="A41" s="10">
        <v>10</v>
      </c>
      <c r="B41" s="9">
        <f t="shared" si="5"/>
        <v>43374</v>
      </c>
      <c r="C41" s="126">
        <f t="shared" si="13"/>
        <v>43409</v>
      </c>
      <c r="D41" s="126">
        <f t="shared" si="13"/>
        <v>43424</v>
      </c>
      <c r="E41" s="20" t="s">
        <v>22</v>
      </c>
      <c r="F41" s="3">
        <v>9</v>
      </c>
      <c r="G41" s="196">
        <v>3155</v>
      </c>
      <c r="H41" s="127">
        <f t="shared" si="1"/>
        <v>809.3</v>
      </c>
      <c r="I41" s="127">
        <f t="shared" si="2"/>
        <v>624.94</v>
      </c>
      <c r="J41" s="28">
        <f t="shared" si="3"/>
        <v>1971685.7000000002</v>
      </c>
      <c r="K41" s="37">
        <f t="shared" si="14"/>
        <v>2553341.5</v>
      </c>
      <c r="L41" s="39">
        <f t="shared" si="15"/>
        <v>-581655.7999999998</v>
      </c>
      <c r="M41" s="27">
        <f t="shared" si="7"/>
        <v>-28695.116423114418</v>
      </c>
      <c r="N41" s="19">
        <f t="shared" si="8"/>
        <v>-610350.9164231142</v>
      </c>
      <c r="O41" s="27">
        <f t="shared" si="9"/>
        <v>730.81</v>
      </c>
      <c r="P41" s="27">
        <f t="shared" si="10"/>
        <v>2305705.55</v>
      </c>
      <c r="Q41" s="27">
        <f t="shared" si="11"/>
        <v>-247635.9500000002</v>
      </c>
      <c r="R41" s="19">
        <f t="shared" si="12"/>
        <v>-362714.96642311406</v>
      </c>
    </row>
    <row r="42" spans="1:18" ht="12.75">
      <c r="A42" s="3">
        <v>11</v>
      </c>
      <c r="B42" s="9">
        <f t="shared" si="5"/>
        <v>43405</v>
      </c>
      <c r="C42" s="126">
        <f t="shared" si="13"/>
        <v>43439</v>
      </c>
      <c r="D42" s="126">
        <f t="shared" si="13"/>
        <v>43454</v>
      </c>
      <c r="E42" s="20" t="s">
        <v>22</v>
      </c>
      <c r="F42" s="3">
        <v>9</v>
      </c>
      <c r="G42" s="196">
        <v>2908</v>
      </c>
      <c r="H42" s="127">
        <f t="shared" si="1"/>
        <v>809.3</v>
      </c>
      <c r="I42" s="127">
        <f t="shared" si="2"/>
        <v>624.94</v>
      </c>
      <c r="J42" s="28">
        <f t="shared" si="3"/>
        <v>1817325.5200000003</v>
      </c>
      <c r="K42" s="37">
        <f t="shared" si="14"/>
        <v>2353444.4</v>
      </c>
      <c r="L42" s="39">
        <f t="shared" si="15"/>
        <v>-536118.8799999997</v>
      </c>
      <c r="M42" s="27">
        <f t="shared" si="7"/>
        <v>-26448.62077921291</v>
      </c>
      <c r="N42" s="19">
        <f t="shared" si="8"/>
        <v>-562567.5007792126</v>
      </c>
      <c r="O42" s="27">
        <f t="shared" si="9"/>
        <v>730.81</v>
      </c>
      <c r="P42" s="27">
        <f t="shared" si="10"/>
        <v>2125195.48</v>
      </c>
      <c r="Q42" s="27">
        <f t="shared" si="11"/>
        <v>-228248.91999999993</v>
      </c>
      <c r="R42" s="19">
        <f t="shared" si="12"/>
        <v>-334318.58077921264</v>
      </c>
    </row>
    <row r="43" spans="1:18" ht="12.75">
      <c r="A43" s="3">
        <v>12</v>
      </c>
      <c r="B43" s="9">
        <f t="shared" si="5"/>
        <v>43435</v>
      </c>
      <c r="C43" s="126">
        <f t="shared" si="13"/>
        <v>43468</v>
      </c>
      <c r="D43" s="126">
        <f t="shared" si="13"/>
        <v>43483</v>
      </c>
      <c r="E43" s="20" t="s">
        <v>22</v>
      </c>
      <c r="F43" s="3">
        <v>9</v>
      </c>
      <c r="G43" s="197">
        <v>2872</v>
      </c>
      <c r="H43" s="127">
        <f t="shared" si="1"/>
        <v>809.3</v>
      </c>
      <c r="I43" s="128">
        <f t="shared" si="2"/>
        <v>624.94</v>
      </c>
      <c r="J43" s="46">
        <f t="shared" si="3"/>
        <v>1794827.6800000002</v>
      </c>
      <c r="K43" s="47">
        <f t="shared" si="14"/>
        <v>2324309.6</v>
      </c>
      <c r="L43" s="48">
        <f t="shared" si="15"/>
        <v>-529481.9199999999</v>
      </c>
      <c r="M43" s="27">
        <f t="shared" si="7"/>
        <v>-26121.19631289528</v>
      </c>
      <c r="N43" s="19">
        <f t="shared" si="8"/>
        <v>-555603.1163128952</v>
      </c>
      <c r="O43" s="27">
        <f t="shared" si="9"/>
        <v>730.81</v>
      </c>
      <c r="P43" s="27">
        <f t="shared" si="10"/>
        <v>2098886.32</v>
      </c>
      <c r="Q43" s="27">
        <f t="shared" si="11"/>
        <v>-225423.28000000026</v>
      </c>
      <c r="R43" s="19">
        <f t="shared" si="12"/>
        <v>-330179.83631289494</v>
      </c>
    </row>
    <row r="44" spans="1:18" ht="12.75">
      <c r="A44" s="10">
        <v>1</v>
      </c>
      <c r="B44" s="74">
        <f aca="true" t="shared" si="16" ref="B44:B55">DATE($R$1,A44,1)</f>
        <v>43101</v>
      </c>
      <c r="C44" s="125">
        <f aca="true" t="shared" si="17" ref="C44:D55">+C32</f>
        <v>43136</v>
      </c>
      <c r="D44" s="125">
        <f t="shared" si="17"/>
        <v>43151</v>
      </c>
      <c r="E44" s="75" t="s">
        <v>83</v>
      </c>
      <c r="F44" s="76">
        <v>9</v>
      </c>
      <c r="G44" s="196">
        <v>204</v>
      </c>
      <c r="H44" s="127">
        <f t="shared" si="1"/>
        <v>809.3</v>
      </c>
      <c r="I44" s="127">
        <f t="shared" si="2"/>
        <v>624.94</v>
      </c>
      <c r="J44" s="27">
        <f aca="true" t="shared" si="18" ref="J44:J55">+$G44*I44</f>
        <v>127487.76000000001</v>
      </c>
      <c r="K44" s="37">
        <f aca="true" t="shared" si="19" ref="K44:K55">+$G44*H44</f>
        <v>165097.19999999998</v>
      </c>
      <c r="L44" s="39">
        <f aca="true" t="shared" si="20" ref="L44:L55">+J44-K44</f>
        <v>-37609.43999999997</v>
      </c>
      <c r="M44" s="27">
        <f t="shared" si="7"/>
        <v>-1855.4053091332303</v>
      </c>
      <c r="N44" s="19">
        <f t="shared" si="8"/>
        <v>-39464.845309133205</v>
      </c>
      <c r="O44" s="27">
        <f t="shared" si="9"/>
        <v>730.81</v>
      </c>
      <c r="P44" s="27">
        <f t="shared" si="10"/>
        <v>149085.24</v>
      </c>
      <c r="Q44" s="27">
        <f t="shared" si="11"/>
        <v>-16011.959999999992</v>
      </c>
      <c r="R44" s="19">
        <f t="shared" si="12"/>
        <v>-23452.885309133213</v>
      </c>
    </row>
    <row r="45" spans="1:18" ht="12.75">
      <c r="A45" s="3">
        <v>2</v>
      </c>
      <c r="B45" s="9">
        <f t="shared" si="16"/>
        <v>43132</v>
      </c>
      <c r="C45" s="126">
        <f t="shared" si="17"/>
        <v>43164</v>
      </c>
      <c r="D45" s="126">
        <f t="shared" si="17"/>
        <v>43179</v>
      </c>
      <c r="E45" s="35" t="s">
        <v>83</v>
      </c>
      <c r="F45" s="3">
        <v>9</v>
      </c>
      <c r="G45" s="196">
        <v>131</v>
      </c>
      <c r="H45" s="127">
        <f t="shared" si="1"/>
        <v>809.3</v>
      </c>
      <c r="I45" s="127">
        <f t="shared" si="2"/>
        <v>624.94</v>
      </c>
      <c r="J45" s="27">
        <f t="shared" si="18"/>
        <v>81867.14000000001</v>
      </c>
      <c r="K45" s="37">
        <f t="shared" si="19"/>
        <v>106018.29999999999</v>
      </c>
      <c r="L45" s="39">
        <f t="shared" si="20"/>
        <v>-24151.159999999974</v>
      </c>
      <c r="M45" s="27">
        <f t="shared" si="7"/>
        <v>-1191.461252433594</v>
      </c>
      <c r="N45" s="19">
        <f t="shared" si="8"/>
        <v>-25342.621252433568</v>
      </c>
      <c r="O45" s="27">
        <f t="shared" si="9"/>
        <v>730.81</v>
      </c>
      <c r="P45" s="27">
        <f t="shared" si="10"/>
        <v>95736.10999999999</v>
      </c>
      <c r="Q45" s="27">
        <f t="shared" si="11"/>
        <v>-10282.190000000002</v>
      </c>
      <c r="R45" s="19">
        <f t="shared" si="12"/>
        <v>-15060.431252433566</v>
      </c>
    </row>
    <row r="46" spans="1:18" ht="12.75">
      <c r="A46" s="3">
        <v>3</v>
      </c>
      <c r="B46" s="9">
        <f t="shared" si="16"/>
        <v>43160</v>
      </c>
      <c r="C46" s="126">
        <f t="shared" si="17"/>
        <v>43194</v>
      </c>
      <c r="D46" s="126">
        <f t="shared" si="17"/>
        <v>43209</v>
      </c>
      <c r="E46" s="35" t="s">
        <v>83</v>
      </c>
      <c r="F46" s="3">
        <v>9</v>
      </c>
      <c r="G46" s="196">
        <v>109</v>
      </c>
      <c r="H46" s="127">
        <f t="shared" si="1"/>
        <v>809.3</v>
      </c>
      <c r="I46" s="127">
        <f t="shared" si="2"/>
        <v>624.94</v>
      </c>
      <c r="J46" s="27">
        <f t="shared" si="18"/>
        <v>68118.46</v>
      </c>
      <c r="K46" s="37">
        <f t="shared" si="19"/>
        <v>88213.7</v>
      </c>
      <c r="L46" s="39">
        <f t="shared" si="20"/>
        <v>-20095.23999999999</v>
      </c>
      <c r="M46" s="27">
        <f t="shared" si="7"/>
        <v>-991.3685230172651</v>
      </c>
      <c r="N46" s="19">
        <f t="shared" si="8"/>
        <v>-21086.608523017258</v>
      </c>
      <c r="O46" s="27">
        <f t="shared" si="9"/>
        <v>730.81</v>
      </c>
      <c r="P46" s="27">
        <f t="shared" si="10"/>
        <v>79658.29</v>
      </c>
      <c r="Q46" s="27">
        <f t="shared" si="11"/>
        <v>-8555.410000000003</v>
      </c>
      <c r="R46" s="19">
        <f t="shared" si="12"/>
        <v>-12531.198523017254</v>
      </c>
    </row>
    <row r="47" spans="1:18" ht="12.75">
      <c r="A47" s="10">
        <v>4</v>
      </c>
      <c r="B47" s="9">
        <f t="shared" si="16"/>
        <v>43191</v>
      </c>
      <c r="C47" s="126">
        <f t="shared" si="17"/>
        <v>43223</v>
      </c>
      <c r="D47" s="126">
        <f t="shared" si="17"/>
        <v>43238</v>
      </c>
      <c r="E47" s="35" t="s">
        <v>83</v>
      </c>
      <c r="F47" s="3">
        <v>9</v>
      </c>
      <c r="G47" s="196">
        <v>84</v>
      </c>
      <c r="H47" s="127">
        <f t="shared" si="1"/>
        <v>809.3</v>
      </c>
      <c r="I47" s="127">
        <f t="shared" si="2"/>
        <v>624.94</v>
      </c>
      <c r="J47" s="27">
        <f t="shared" si="18"/>
        <v>52494.96000000001</v>
      </c>
      <c r="K47" s="37">
        <f t="shared" si="19"/>
        <v>67981.2</v>
      </c>
      <c r="L47" s="39">
        <f t="shared" si="20"/>
        <v>-15486.23999999999</v>
      </c>
      <c r="M47" s="27">
        <f t="shared" si="7"/>
        <v>-763.9904214078007</v>
      </c>
      <c r="N47" s="19">
        <f t="shared" si="8"/>
        <v>-16250.230421407792</v>
      </c>
      <c r="O47" s="27">
        <f t="shared" si="9"/>
        <v>730.81</v>
      </c>
      <c r="P47" s="27">
        <f t="shared" si="10"/>
        <v>61388.03999999999</v>
      </c>
      <c r="Q47" s="27">
        <f t="shared" si="11"/>
        <v>-6593.1600000000035</v>
      </c>
      <c r="R47" s="19">
        <f t="shared" si="12"/>
        <v>-9657.070421407789</v>
      </c>
    </row>
    <row r="48" spans="1:18" ht="12.75">
      <c r="A48" s="3">
        <v>5</v>
      </c>
      <c r="B48" s="9">
        <f t="shared" si="16"/>
        <v>43221</v>
      </c>
      <c r="C48" s="126">
        <f t="shared" si="17"/>
        <v>43256</v>
      </c>
      <c r="D48" s="126">
        <f t="shared" si="17"/>
        <v>43271</v>
      </c>
      <c r="E48" s="35" t="s">
        <v>83</v>
      </c>
      <c r="F48" s="3">
        <v>9</v>
      </c>
      <c r="G48" s="196">
        <v>134</v>
      </c>
      <c r="H48" s="127">
        <f t="shared" si="1"/>
        <v>809.3</v>
      </c>
      <c r="I48" s="127">
        <f t="shared" si="2"/>
        <v>624.94</v>
      </c>
      <c r="J48" s="27">
        <f t="shared" si="18"/>
        <v>83741.96</v>
      </c>
      <c r="K48" s="37">
        <f t="shared" si="19"/>
        <v>108446.2</v>
      </c>
      <c r="L48" s="39">
        <f t="shared" si="20"/>
        <v>-24704.23999999999</v>
      </c>
      <c r="M48" s="27">
        <f t="shared" si="7"/>
        <v>-1218.7466246267297</v>
      </c>
      <c r="N48" s="19">
        <f t="shared" si="8"/>
        <v>-25922.98662462672</v>
      </c>
      <c r="O48" s="27">
        <f t="shared" si="9"/>
        <v>730.81</v>
      </c>
      <c r="P48" s="27">
        <f t="shared" si="10"/>
        <v>97928.54</v>
      </c>
      <c r="Q48" s="27">
        <f t="shared" si="11"/>
        <v>-10517.660000000003</v>
      </c>
      <c r="R48" s="19">
        <f t="shared" si="12"/>
        <v>-15405.326624626716</v>
      </c>
    </row>
    <row r="49" spans="1:18" ht="12.75">
      <c r="A49" s="3">
        <v>6</v>
      </c>
      <c r="B49" s="9">
        <f t="shared" si="16"/>
        <v>43252</v>
      </c>
      <c r="C49" s="126">
        <f t="shared" si="17"/>
        <v>43286</v>
      </c>
      <c r="D49" s="126">
        <f t="shared" si="17"/>
        <v>43301</v>
      </c>
      <c r="E49" s="35" t="s">
        <v>83</v>
      </c>
      <c r="F49" s="3">
        <v>9</v>
      </c>
      <c r="G49" s="196">
        <v>132</v>
      </c>
      <c r="H49" s="127">
        <f t="shared" si="1"/>
        <v>809.3</v>
      </c>
      <c r="I49" s="127">
        <f t="shared" si="2"/>
        <v>624.94</v>
      </c>
      <c r="J49" s="27">
        <f t="shared" si="18"/>
        <v>82492.08</v>
      </c>
      <c r="K49" s="37">
        <f t="shared" si="19"/>
        <v>106827.59999999999</v>
      </c>
      <c r="L49" s="39">
        <f t="shared" si="20"/>
        <v>-24335.51999999999</v>
      </c>
      <c r="M49" s="27">
        <f t="shared" si="7"/>
        <v>-1200.5563764979725</v>
      </c>
      <c r="N49" s="19">
        <f t="shared" si="8"/>
        <v>-25536.076376497964</v>
      </c>
      <c r="O49" s="27">
        <f t="shared" si="9"/>
        <v>730.81</v>
      </c>
      <c r="P49" s="27">
        <f t="shared" si="10"/>
        <v>96466.92</v>
      </c>
      <c r="Q49" s="27">
        <f t="shared" si="11"/>
        <v>-10360.679999999993</v>
      </c>
      <c r="R49" s="19">
        <f t="shared" si="12"/>
        <v>-15175.39637649797</v>
      </c>
    </row>
    <row r="50" spans="1:18" ht="12.75">
      <c r="A50" s="10">
        <v>7</v>
      </c>
      <c r="B50" s="9">
        <f t="shared" si="16"/>
        <v>43282</v>
      </c>
      <c r="C50" s="126">
        <f t="shared" si="17"/>
        <v>43315</v>
      </c>
      <c r="D50" s="126">
        <f t="shared" si="17"/>
        <v>43330</v>
      </c>
      <c r="E50" s="35" t="s">
        <v>83</v>
      </c>
      <c r="F50" s="3">
        <v>9</v>
      </c>
      <c r="G50" s="196">
        <v>143</v>
      </c>
      <c r="H50" s="127">
        <f t="shared" si="1"/>
        <v>809.3</v>
      </c>
      <c r="I50" s="127">
        <f t="shared" si="2"/>
        <v>624.94</v>
      </c>
      <c r="J50" s="27">
        <f t="shared" si="18"/>
        <v>89366.42000000001</v>
      </c>
      <c r="K50" s="37">
        <f t="shared" si="19"/>
        <v>115729.9</v>
      </c>
      <c r="L50" s="39">
        <f t="shared" si="20"/>
        <v>-26363.47999999998</v>
      </c>
      <c r="M50" s="27">
        <f t="shared" si="7"/>
        <v>-1300.602741206137</v>
      </c>
      <c r="N50" s="19">
        <f t="shared" si="8"/>
        <v>-27664.08274120612</v>
      </c>
      <c r="O50" s="27">
        <f t="shared" si="9"/>
        <v>730.81</v>
      </c>
      <c r="P50" s="27">
        <f t="shared" si="10"/>
        <v>104505.82999999999</v>
      </c>
      <c r="Q50" s="27">
        <f t="shared" si="11"/>
        <v>-11224.070000000007</v>
      </c>
      <c r="R50" s="19">
        <f t="shared" si="12"/>
        <v>-16440.012741206112</v>
      </c>
    </row>
    <row r="51" spans="1:18" ht="12.75">
      <c r="A51" s="3">
        <v>8</v>
      </c>
      <c r="B51" s="9">
        <f t="shared" si="16"/>
        <v>43313</v>
      </c>
      <c r="C51" s="126">
        <f t="shared" si="17"/>
        <v>43348</v>
      </c>
      <c r="D51" s="126">
        <f t="shared" si="17"/>
        <v>43363</v>
      </c>
      <c r="E51" s="35" t="s">
        <v>83</v>
      </c>
      <c r="F51" s="3">
        <v>9</v>
      </c>
      <c r="G51" s="196">
        <v>120</v>
      </c>
      <c r="H51" s="127">
        <f t="shared" si="1"/>
        <v>809.3</v>
      </c>
      <c r="I51" s="127">
        <f t="shared" si="2"/>
        <v>624.94</v>
      </c>
      <c r="J51" s="27">
        <f t="shared" si="18"/>
        <v>74992.8</v>
      </c>
      <c r="K51" s="37">
        <f t="shared" si="19"/>
        <v>97116</v>
      </c>
      <c r="L51" s="39">
        <f t="shared" si="20"/>
        <v>-22123.199999999997</v>
      </c>
      <c r="M51" s="27">
        <f t="shared" si="7"/>
        <v>-1091.4148877254297</v>
      </c>
      <c r="N51" s="19">
        <f t="shared" si="8"/>
        <v>-23214.614887725427</v>
      </c>
      <c r="O51" s="27">
        <f t="shared" si="9"/>
        <v>730.81</v>
      </c>
      <c r="P51" s="27">
        <f t="shared" si="10"/>
        <v>87697.2</v>
      </c>
      <c r="Q51" s="27">
        <f t="shared" si="11"/>
        <v>-9418.800000000003</v>
      </c>
      <c r="R51" s="19">
        <f t="shared" si="12"/>
        <v>-13795.814887725424</v>
      </c>
    </row>
    <row r="52" spans="1:18" ht="12.75">
      <c r="A52" s="3">
        <v>9</v>
      </c>
      <c r="B52" s="9">
        <f t="shared" si="16"/>
        <v>43344</v>
      </c>
      <c r="C52" s="126">
        <f t="shared" si="17"/>
        <v>43376</v>
      </c>
      <c r="D52" s="126">
        <f t="shared" si="17"/>
        <v>43391</v>
      </c>
      <c r="E52" s="35" t="s">
        <v>83</v>
      </c>
      <c r="F52" s="3">
        <v>9</v>
      </c>
      <c r="G52" s="196">
        <v>127</v>
      </c>
      <c r="H52" s="127">
        <f t="shared" si="1"/>
        <v>809.3</v>
      </c>
      <c r="I52" s="127">
        <f t="shared" si="2"/>
        <v>624.94</v>
      </c>
      <c r="J52" s="27">
        <f t="shared" si="18"/>
        <v>79367.38</v>
      </c>
      <c r="K52" s="37">
        <f t="shared" si="19"/>
        <v>102781.09999999999</v>
      </c>
      <c r="L52" s="39">
        <f t="shared" si="20"/>
        <v>-23413.719999999987</v>
      </c>
      <c r="M52" s="27">
        <f t="shared" si="7"/>
        <v>-1155.0807561760796</v>
      </c>
      <c r="N52" s="19">
        <f t="shared" si="8"/>
        <v>-24568.800756176068</v>
      </c>
      <c r="O52" s="27">
        <f t="shared" si="9"/>
        <v>730.81</v>
      </c>
      <c r="P52" s="27">
        <f t="shared" si="10"/>
        <v>92812.87</v>
      </c>
      <c r="Q52" s="27">
        <f t="shared" si="11"/>
        <v>-9968.229999999996</v>
      </c>
      <c r="R52" s="19">
        <f t="shared" si="12"/>
        <v>-14600.570756176072</v>
      </c>
    </row>
    <row r="53" spans="1:18" ht="12.75">
      <c r="A53" s="10">
        <v>10</v>
      </c>
      <c r="B53" s="9">
        <f t="shared" si="16"/>
        <v>43374</v>
      </c>
      <c r="C53" s="126">
        <f t="shared" si="17"/>
        <v>43409</v>
      </c>
      <c r="D53" s="126">
        <f t="shared" si="17"/>
        <v>43424</v>
      </c>
      <c r="E53" s="35" t="s">
        <v>83</v>
      </c>
      <c r="F53" s="3">
        <v>9</v>
      </c>
      <c r="G53" s="196">
        <v>118</v>
      </c>
      <c r="H53" s="127">
        <f t="shared" si="1"/>
        <v>809.3</v>
      </c>
      <c r="I53" s="127">
        <f t="shared" si="2"/>
        <v>624.94</v>
      </c>
      <c r="J53" s="27">
        <f t="shared" si="18"/>
        <v>73742.92000000001</v>
      </c>
      <c r="K53" s="37">
        <f t="shared" si="19"/>
        <v>95497.4</v>
      </c>
      <c r="L53" s="39">
        <f t="shared" si="20"/>
        <v>-21754.47999999998</v>
      </c>
      <c r="M53" s="27">
        <f t="shared" si="7"/>
        <v>-1073.2246395966724</v>
      </c>
      <c r="N53" s="19">
        <f t="shared" si="8"/>
        <v>-22827.704639596654</v>
      </c>
      <c r="O53" s="27">
        <f t="shared" si="9"/>
        <v>730.81</v>
      </c>
      <c r="P53" s="27">
        <f t="shared" si="10"/>
        <v>86235.57999999999</v>
      </c>
      <c r="Q53" s="27">
        <f t="shared" si="11"/>
        <v>-9261.820000000007</v>
      </c>
      <c r="R53" s="19">
        <f t="shared" si="12"/>
        <v>-13565.884639596647</v>
      </c>
    </row>
    <row r="54" spans="1:18" ht="12.75">
      <c r="A54" s="3">
        <v>11</v>
      </c>
      <c r="B54" s="9">
        <f t="shared" si="16"/>
        <v>43405</v>
      </c>
      <c r="C54" s="126">
        <f t="shared" si="17"/>
        <v>43439</v>
      </c>
      <c r="D54" s="126">
        <f t="shared" si="17"/>
        <v>43454</v>
      </c>
      <c r="E54" s="35" t="s">
        <v>83</v>
      </c>
      <c r="F54" s="3">
        <v>9</v>
      </c>
      <c r="G54" s="196">
        <v>142</v>
      </c>
      <c r="H54" s="127">
        <f t="shared" si="1"/>
        <v>809.3</v>
      </c>
      <c r="I54" s="127">
        <f t="shared" si="2"/>
        <v>624.94</v>
      </c>
      <c r="J54" s="27">
        <f t="shared" si="18"/>
        <v>88741.48000000001</v>
      </c>
      <c r="K54" s="37">
        <f t="shared" si="19"/>
        <v>114920.59999999999</v>
      </c>
      <c r="L54" s="39">
        <f t="shared" si="20"/>
        <v>-26179.11999999998</v>
      </c>
      <c r="M54" s="27">
        <f t="shared" si="7"/>
        <v>-1291.5076171417584</v>
      </c>
      <c r="N54" s="19">
        <f t="shared" si="8"/>
        <v>-27470.627617141738</v>
      </c>
      <c r="O54" s="27">
        <f t="shared" si="9"/>
        <v>730.81</v>
      </c>
      <c r="P54" s="27">
        <f t="shared" si="10"/>
        <v>103775.01999999999</v>
      </c>
      <c r="Q54" s="27">
        <f t="shared" si="11"/>
        <v>-11145.580000000002</v>
      </c>
      <c r="R54" s="19">
        <f t="shared" si="12"/>
        <v>-16325.047617141736</v>
      </c>
    </row>
    <row r="55" spans="1:18" ht="12.75">
      <c r="A55" s="3">
        <v>12</v>
      </c>
      <c r="B55" s="9">
        <f t="shared" si="16"/>
        <v>43435</v>
      </c>
      <c r="C55" s="126">
        <f t="shared" si="17"/>
        <v>43468</v>
      </c>
      <c r="D55" s="126">
        <f t="shared" si="17"/>
        <v>43483</v>
      </c>
      <c r="E55" s="35" t="s">
        <v>83</v>
      </c>
      <c r="F55" s="3">
        <v>9</v>
      </c>
      <c r="G55" s="197">
        <v>129</v>
      </c>
      <c r="H55" s="127">
        <f t="shared" si="1"/>
        <v>809.3</v>
      </c>
      <c r="I55" s="128">
        <f t="shared" si="2"/>
        <v>624.94</v>
      </c>
      <c r="J55" s="46">
        <f t="shared" si="18"/>
        <v>80617.26000000001</v>
      </c>
      <c r="K55" s="47">
        <f t="shared" si="19"/>
        <v>104399.7</v>
      </c>
      <c r="L55" s="48">
        <f t="shared" si="20"/>
        <v>-23782.439999999988</v>
      </c>
      <c r="M55" s="27">
        <f t="shared" si="7"/>
        <v>-1173.2710043048367</v>
      </c>
      <c r="N55" s="19">
        <f t="shared" si="8"/>
        <v>-24955.711004304823</v>
      </c>
      <c r="O55" s="27">
        <f t="shared" si="9"/>
        <v>730.81</v>
      </c>
      <c r="P55" s="27">
        <f t="shared" si="10"/>
        <v>94274.48999999999</v>
      </c>
      <c r="Q55" s="27">
        <f t="shared" si="11"/>
        <v>-10125.210000000006</v>
      </c>
      <c r="R55" s="19">
        <f t="shared" si="12"/>
        <v>-14830.501004304817</v>
      </c>
    </row>
    <row r="56" spans="1:18" s="77" customFormat="1" ht="12.75">
      <c r="A56" s="10">
        <v>1</v>
      </c>
      <c r="B56" s="74">
        <f t="shared" si="5"/>
        <v>43101</v>
      </c>
      <c r="C56" s="125">
        <f aca="true" t="shared" si="21" ref="C56:D67">+C32</f>
        <v>43136</v>
      </c>
      <c r="D56" s="125">
        <f t="shared" si="21"/>
        <v>43151</v>
      </c>
      <c r="E56" s="75" t="s">
        <v>14</v>
      </c>
      <c r="F56" s="76">
        <v>9</v>
      </c>
      <c r="G56" s="196">
        <v>951</v>
      </c>
      <c r="H56" s="127">
        <f t="shared" si="1"/>
        <v>809.3</v>
      </c>
      <c r="I56" s="127">
        <f t="shared" si="2"/>
        <v>624.94</v>
      </c>
      <c r="J56" s="28">
        <f t="shared" si="3"/>
        <v>594317.9400000001</v>
      </c>
      <c r="K56" s="29">
        <f t="shared" si="14"/>
        <v>769644.2999999999</v>
      </c>
      <c r="L56" s="30">
        <f t="shared" si="15"/>
        <v>-175326.35999999987</v>
      </c>
      <c r="M56" s="27">
        <f t="shared" si="7"/>
        <v>-8649.462985224029</v>
      </c>
      <c r="N56" s="19">
        <f t="shared" si="8"/>
        <v>-183975.8229852239</v>
      </c>
      <c r="O56" s="27">
        <f t="shared" si="9"/>
        <v>730.81</v>
      </c>
      <c r="P56" s="27">
        <f t="shared" si="10"/>
        <v>695000.3099999999</v>
      </c>
      <c r="Q56" s="27">
        <f t="shared" si="11"/>
        <v>-74643.98999999999</v>
      </c>
      <c r="R56" s="19">
        <f t="shared" si="12"/>
        <v>-109331.83298522391</v>
      </c>
    </row>
    <row r="57" spans="1:18" ht="12.75">
      <c r="A57" s="3">
        <v>2</v>
      </c>
      <c r="B57" s="9">
        <f t="shared" si="5"/>
        <v>43132</v>
      </c>
      <c r="C57" s="126">
        <f t="shared" si="21"/>
        <v>43164</v>
      </c>
      <c r="D57" s="126">
        <f t="shared" si="21"/>
        <v>43179</v>
      </c>
      <c r="E57" s="35" t="s">
        <v>14</v>
      </c>
      <c r="F57" s="3">
        <v>9</v>
      </c>
      <c r="G57" s="196">
        <v>724</v>
      </c>
      <c r="H57" s="127">
        <f t="shared" si="1"/>
        <v>809.3</v>
      </c>
      <c r="I57" s="127">
        <f t="shared" si="2"/>
        <v>624.94</v>
      </c>
      <c r="J57" s="28">
        <f t="shared" si="3"/>
        <v>452456.56000000006</v>
      </c>
      <c r="K57" s="29">
        <f t="shared" si="14"/>
        <v>585933.2</v>
      </c>
      <c r="L57" s="30">
        <f t="shared" si="15"/>
        <v>-133476.6399999999</v>
      </c>
      <c r="M57" s="27">
        <f t="shared" si="7"/>
        <v>-6584.869822610092</v>
      </c>
      <c r="N57" s="19">
        <f t="shared" si="8"/>
        <v>-140061.50982260998</v>
      </c>
      <c r="O57" s="27">
        <f t="shared" si="9"/>
        <v>730.81</v>
      </c>
      <c r="P57" s="27">
        <f t="shared" si="10"/>
        <v>529106.44</v>
      </c>
      <c r="Q57" s="27">
        <f t="shared" si="11"/>
        <v>-56826.76000000001</v>
      </c>
      <c r="R57" s="19">
        <f t="shared" si="12"/>
        <v>-83234.74982260997</v>
      </c>
    </row>
    <row r="58" spans="1:18" ht="12.75">
      <c r="A58" s="3">
        <v>3</v>
      </c>
      <c r="B58" s="9">
        <f t="shared" si="5"/>
        <v>43160</v>
      </c>
      <c r="C58" s="126">
        <f t="shared" si="21"/>
        <v>43194</v>
      </c>
      <c r="D58" s="126">
        <f t="shared" si="21"/>
        <v>43209</v>
      </c>
      <c r="E58" s="35" t="s">
        <v>14</v>
      </c>
      <c r="F58" s="3">
        <v>9</v>
      </c>
      <c r="G58" s="196">
        <v>603</v>
      </c>
      <c r="H58" s="127">
        <f t="shared" si="1"/>
        <v>809.3</v>
      </c>
      <c r="I58" s="127">
        <f t="shared" si="2"/>
        <v>624.94</v>
      </c>
      <c r="J58" s="28">
        <f t="shared" si="3"/>
        <v>376838.82</v>
      </c>
      <c r="K58" s="29">
        <f t="shared" si="14"/>
        <v>488007.89999999997</v>
      </c>
      <c r="L58" s="30">
        <f>+J58-K58</f>
        <v>-111169.07999999996</v>
      </c>
      <c r="M58" s="27">
        <f t="shared" si="7"/>
        <v>-5484.359810820283</v>
      </c>
      <c r="N58" s="19">
        <f t="shared" si="8"/>
        <v>-116653.43981082024</v>
      </c>
      <c r="O58" s="27">
        <f t="shared" si="9"/>
        <v>730.81</v>
      </c>
      <c r="P58" s="27">
        <f t="shared" si="10"/>
        <v>440678.43</v>
      </c>
      <c r="Q58" s="27">
        <f t="shared" si="11"/>
        <v>-47329.46999999997</v>
      </c>
      <c r="R58" s="19">
        <f t="shared" si="12"/>
        <v>-69323.96981082027</v>
      </c>
    </row>
    <row r="59" spans="1:18" ht="12.75">
      <c r="A59" s="10">
        <v>4</v>
      </c>
      <c r="B59" s="9">
        <f t="shared" si="5"/>
        <v>43191</v>
      </c>
      <c r="C59" s="126">
        <f t="shared" si="21"/>
        <v>43223</v>
      </c>
      <c r="D59" s="126">
        <f t="shared" si="21"/>
        <v>43238</v>
      </c>
      <c r="E59" s="35" t="s">
        <v>14</v>
      </c>
      <c r="F59" s="3">
        <v>9</v>
      </c>
      <c r="G59" s="196">
        <v>445</v>
      </c>
      <c r="H59" s="127">
        <f t="shared" si="1"/>
        <v>809.3</v>
      </c>
      <c r="I59" s="127">
        <f t="shared" si="2"/>
        <v>624.94</v>
      </c>
      <c r="J59" s="28">
        <f t="shared" si="3"/>
        <v>278098.30000000005</v>
      </c>
      <c r="K59" s="29">
        <f t="shared" si="14"/>
        <v>360138.5</v>
      </c>
      <c r="L59" s="30">
        <f aca="true" t="shared" si="22" ref="L59:L81">+J59-K59</f>
        <v>-82040.19999999995</v>
      </c>
      <c r="M59" s="27">
        <f t="shared" si="7"/>
        <v>-4047.3302086484678</v>
      </c>
      <c r="N59" s="19">
        <f t="shared" si="8"/>
        <v>-86087.53020864842</v>
      </c>
      <c r="O59" s="27">
        <f t="shared" si="9"/>
        <v>730.81</v>
      </c>
      <c r="P59" s="27">
        <f t="shared" si="10"/>
        <v>325210.44999999995</v>
      </c>
      <c r="Q59" s="27">
        <f t="shared" si="11"/>
        <v>-34928.05000000005</v>
      </c>
      <c r="R59" s="19">
        <f t="shared" si="12"/>
        <v>-51159.48020864837</v>
      </c>
    </row>
    <row r="60" spans="1:18" ht="12.75">
      <c r="A60" s="3">
        <v>5</v>
      </c>
      <c r="B60" s="9">
        <f t="shared" si="5"/>
        <v>43221</v>
      </c>
      <c r="C60" s="126">
        <f t="shared" si="21"/>
        <v>43256</v>
      </c>
      <c r="D60" s="126">
        <f t="shared" si="21"/>
        <v>43271</v>
      </c>
      <c r="E60" s="20" t="s">
        <v>14</v>
      </c>
      <c r="F60" s="3">
        <v>9</v>
      </c>
      <c r="G60" s="196">
        <v>784</v>
      </c>
      <c r="H60" s="127">
        <f t="shared" si="1"/>
        <v>809.3</v>
      </c>
      <c r="I60" s="127">
        <f t="shared" si="2"/>
        <v>624.94</v>
      </c>
      <c r="J60" s="28">
        <f t="shared" si="3"/>
        <v>489952.96</v>
      </c>
      <c r="K60" s="29">
        <f t="shared" si="14"/>
        <v>634491.2</v>
      </c>
      <c r="L60" s="30">
        <f t="shared" si="22"/>
        <v>-144538.23999999993</v>
      </c>
      <c r="M60" s="27">
        <f t="shared" si="7"/>
        <v>-7130.5772664728065</v>
      </c>
      <c r="N60" s="19">
        <f t="shared" si="8"/>
        <v>-151668.81726647273</v>
      </c>
      <c r="O60" s="27">
        <f t="shared" si="9"/>
        <v>730.81</v>
      </c>
      <c r="P60" s="27">
        <f t="shared" si="10"/>
        <v>572955.0399999999</v>
      </c>
      <c r="Q60" s="27">
        <f t="shared" si="11"/>
        <v>-61536.16000000003</v>
      </c>
      <c r="R60" s="19">
        <f t="shared" si="12"/>
        <v>-90132.6572664727</v>
      </c>
    </row>
    <row r="61" spans="1:18" ht="12.75">
      <c r="A61" s="3">
        <v>6</v>
      </c>
      <c r="B61" s="9">
        <f t="shared" si="5"/>
        <v>43252</v>
      </c>
      <c r="C61" s="126">
        <f t="shared" si="21"/>
        <v>43286</v>
      </c>
      <c r="D61" s="126">
        <f t="shared" si="21"/>
        <v>43301</v>
      </c>
      <c r="E61" s="20" t="s">
        <v>14</v>
      </c>
      <c r="F61" s="3">
        <v>9</v>
      </c>
      <c r="G61" s="196">
        <v>870</v>
      </c>
      <c r="H61" s="127">
        <f t="shared" si="1"/>
        <v>809.3</v>
      </c>
      <c r="I61" s="127">
        <f t="shared" si="2"/>
        <v>624.94</v>
      </c>
      <c r="J61" s="28">
        <f t="shared" si="3"/>
        <v>543697.8</v>
      </c>
      <c r="K61" s="29">
        <f t="shared" si="14"/>
        <v>704091</v>
      </c>
      <c r="L61" s="39">
        <f t="shared" si="22"/>
        <v>-160393.19999999995</v>
      </c>
      <c r="M61" s="27">
        <f t="shared" si="7"/>
        <v>-7912.757936009364</v>
      </c>
      <c r="N61" s="19">
        <f t="shared" si="8"/>
        <v>-168305.9579360093</v>
      </c>
      <c r="O61" s="27">
        <f t="shared" si="9"/>
        <v>730.81</v>
      </c>
      <c r="P61" s="27">
        <f t="shared" si="10"/>
        <v>635804.7</v>
      </c>
      <c r="Q61" s="27">
        <f t="shared" si="11"/>
        <v>-68286.30000000005</v>
      </c>
      <c r="R61" s="19">
        <f t="shared" si="12"/>
        <v>-100019.65793600926</v>
      </c>
    </row>
    <row r="62" spans="1:18" ht="12.75">
      <c r="A62" s="10">
        <v>7</v>
      </c>
      <c r="B62" s="9">
        <f t="shared" si="5"/>
        <v>43282</v>
      </c>
      <c r="C62" s="126">
        <f t="shared" si="21"/>
        <v>43315</v>
      </c>
      <c r="D62" s="126">
        <f t="shared" si="21"/>
        <v>43330</v>
      </c>
      <c r="E62" s="20" t="s">
        <v>14</v>
      </c>
      <c r="F62" s="3">
        <v>9</v>
      </c>
      <c r="G62" s="196">
        <v>933</v>
      </c>
      <c r="H62" s="127">
        <f t="shared" si="1"/>
        <v>809.3</v>
      </c>
      <c r="I62" s="127">
        <f t="shared" si="2"/>
        <v>624.94</v>
      </c>
      <c r="J62" s="28">
        <f t="shared" si="3"/>
        <v>583069.02</v>
      </c>
      <c r="K62" s="37">
        <f t="shared" si="14"/>
        <v>755076.8999999999</v>
      </c>
      <c r="L62" s="39">
        <f t="shared" si="22"/>
        <v>-172007.8799999999</v>
      </c>
      <c r="M62" s="27">
        <f t="shared" si="7"/>
        <v>-8485.750752065214</v>
      </c>
      <c r="N62" s="19">
        <f t="shared" si="8"/>
        <v>-180493.6307520651</v>
      </c>
      <c r="O62" s="27">
        <f t="shared" si="9"/>
        <v>730.81</v>
      </c>
      <c r="P62" s="27">
        <f t="shared" si="10"/>
        <v>681845.73</v>
      </c>
      <c r="Q62" s="27">
        <f t="shared" si="11"/>
        <v>-73231.16999999993</v>
      </c>
      <c r="R62" s="19">
        <f t="shared" si="12"/>
        <v>-107262.46075206518</v>
      </c>
    </row>
    <row r="63" spans="1:18" ht="12.75">
      <c r="A63" s="3">
        <v>8</v>
      </c>
      <c r="B63" s="9">
        <f t="shared" si="5"/>
        <v>43313</v>
      </c>
      <c r="C63" s="126">
        <f t="shared" si="21"/>
        <v>43348</v>
      </c>
      <c r="D63" s="126">
        <f t="shared" si="21"/>
        <v>43363</v>
      </c>
      <c r="E63" s="20" t="s">
        <v>14</v>
      </c>
      <c r="F63" s="3">
        <v>9</v>
      </c>
      <c r="G63" s="196">
        <v>815</v>
      </c>
      <c r="H63" s="127">
        <f t="shared" si="1"/>
        <v>809.3</v>
      </c>
      <c r="I63" s="127">
        <f t="shared" si="2"/>
        <v>624.94</v>
      </c>
      <c r="J63" s="28">
        <f t="shared" si="3"/>
        <v>509326.10000000003</v>
      </c>
      <c r="K63" s="37">
        <f t="shared" si="14"/>
        <v>659579.5</v>
      </c>
      <c r="L63" s="39">
        <f t="shared" si="22"/>
        <v>-150253.39999999997</v>
      </c>
      <c r="M63" s="27">
        <f t="shared" si="7"/>
        <v>-7412.526112468543</v>
      </c>
      <c r="N63" s="19">
        <f t="shared" si="8"/>
        <v>-157665.9261124685</v>
      </c>
      <c r="O63" s="27">
        <f t="shared" si="9"/>
        <v>730.81</v>
      </c>
      <c r="P63" s="27">
        <f t="shared" si="10"/>
        <v>595610.1499999999</v>
      </c>
      <c r="Q63" s="27">
        <f t="shared" si="11"/>
        <v>-63969.35000000009</v>
      </c>
      <c r="R63" s="19">
        <f t="shared" si="12"/>
        <v>-93696.5761124684</v>
      </c>
    </row>
    <row r="64" spans="1:18" ht="12.75">
      <c r="A64" s="3">
        <v>9</v>
      </c>
      <c r="B64" s="9">
        <f t="shared" si="5"/>
        <v>43344</v>
      </c>
      <c r="C64" s="126">
        <f t="shared" si="21"/>
        <v>43376</v>
      </c>
      <c r="D64" s="126">
        <f t="shared" si="21"/>
        <v>43391</v>
      </c>
      <c r="E64" s="20" t="s">
        <v>14</v>
      </c>
      <c r="F64" s="3">
        <v>9</v>
      </c>
      <c r="G64" s="196">
        <v>801</v>
      </c>
      <c r="H64" s="127">
        <f t="shared" si="1"/>
        <v>809.3</v>
      </c>
      <c r="I64" s="127">
        <f aca="true" t="shared" si="23" ref="I64:I107">$J$3</f>
        <v>624.94</v>
      </c>
      <c r="J64" s="28">
        <f t="shared" si="3"/>
        <v>500576.94000000006</v>
      </c>
      <c r="K64" s="37">
        <f t="shared" si="14"/>
        <v>648249.2999999999</v>
      </c>
      <c r="L64" s="39">
        <f t="shared" si="22"/>
        <v>-147672.35999999987</v>
      </c>
      <c r="M64" s="27">
        <f t="shared" si="7"/>
        <v>-7285.194375567243</v>
      </c>
      <c r="N64" s="19">
        <f t="shared" si="8"/>
        <v>-154957.55437556712</v>
      </c>
      <c r="O64" s="27">
        <f t="shared" si="9"/>
        <v>730.81</v>
      </c>
      <c r="P64" s="27">
        <f t="shared" si="10"/>
        <v>585378.8099999999</v>
      </c>
      <c r="Q64" s="27">
        <f t="shared" si="11"/>
        <v>-62870.48999999999</v>
      </c>
      <c r="R64" s="19">
        <f t="shared" si="12"/>
        <v>-92087.06437556713</v>
      </c>
    </row>
    <row r="65" spans="1:18" ht="12.75">
      <c r="A65" s="10">
        <v>10</v>
      </c>
      <c r="B65" s="9">
        <f t="shared" si="5"/>
        <v>43374</v>
      </c>
      <c r="C65" s="126">
        <f t="shared" si="21"/>
        <v>43409</v>
      </c>
      <c r="D65" s="126">
        <f t="shared" si="21"/>
        <v>43424</v>
      </c>
      <c r="E65" s="20" t="s">
        <v>14</v>
      </c>
      <c r="F65" s="3">
        <v>9</v>
      </c>
      <c r="G65" s="196">
        <v>683</v>
      </c>
      <c r="H65" s="127">
        <f t="shared" si="1"/>
        <v>809.3</v>
      </c>
      <c r="I65" s="127">
        <f t="shared" si="23"/>
        <v>624.94</v>
      </c>
      <c r="J65" s="28">
        <f t="shared" si="3"/>
        <v>426834.02</v>
      </c>
      <c r="K65" s="37">
        <f t="shared" si="14"/>
        <v>552751.9</v>
      </c>
      <c r="L65" s="39">
        <f t="shared" si="22"/>
        <v>-125917.88</v>
      </c>
      <c r="M65" s="27">
        <f t="shared" si="7"/>
        <v>-6211.969735970571</v>
      </c>
      <c r="N65" s="19">
        <f t="shared" si="8"/>
        <v>-132129.84973597058</v>
      </c>
      <c r="O65" s="27">
        <f t="shared" si="9"/>
        <v>730.81</v>
      </c>
      <c r="P65" s="27">
        <f t="shared" si="10"/>
        <v>499143.23</v>
      </c>
      <c r="Q65" s="27">
        <f t="shared" si="11"/>
        <v>-53608.67000000004</v>
      </c>
      <c r="R65" s="19">
        <f t="shared" si="12"/>
        <v>-78521.17973597054</v>
      </c>
    </row>
    <row r="66" spans="1:18" ht="12.75">
      <c r="A66" s="3">
        <v>11</v>
      </c>
      <c r="B66" s="9">
        <f t="shared" si="5"/>
        <v>43405</v>
      </c>
      <c r="C66" s="126">
        <f t="shared" si="21"/>
        <v>43439</v>
      </c>
      <c r="D66" s="126">
        <f t="shared" si="21"/>
        <v>43454</v>
      </c>
      <c r="E66" s="20" t="s">
        <v>14</v>
      </c>
      <c r="F66" s="3">
        <v>9</v>
      </c>
      <c r="G66" s="196">
        <v>700</v>
      </c>
      <c r="H66" s="127">
        <f t="shared" si="1"/>
        <v>809.3</v>
      </c>
      <c r="I66" s="127">
        <f t="shared" si="23"/>
        <v>624.94</v>
      </c>
      <c r="J66" s="28">
        <f t="shared" si="3"/>
        <v>437458.00000000006</v>
      </c>
      <c r="K66" s="37">
        <f t="shared" si="14"/>
        <v>566510</v>
      </c>
      <c r="L66" s="39">
        <f t="shared" si="22"/>
        <v>-129051.99999999994</v>
      </c>
      <c r="M66" s="27">
        <f t="shared" si="7"/>
        <v>-6366.586845065006</v>
      </c>
      <c r="N66" s="19">
        <f t="shared" si="8"/>
        <v>-135418.58684506494</v>
      </c>
      <c r="O66" s="27">
        <f t="shared" si="9"/>
        <v>730.81</v>
      </c>
      <c r="P66" s="27">
        <f t="shared" si="10"/>
        <v>511566.99999999994</v>
      </c>
      <c r="Q66" s="27">
        <f t="shared" si="11"/>
        <v>-54943.00000000006</v>
      </c>
      <c r="R66" s="19">
        <f t="shared" si="12"/>
        <v>-80475.58684506488</v>
      </c>
    </row>
    <row r="67" spans="1:18" s="34" customFormat="1" ht="12.75">
      <c r="A67" s="3">
        <v>12</v>
      </c>
      <c r="B67" s="44">
        <f t="shared" si="5"/>
        <v>43435</v>
      </c>
      <c r="C67" s="126">
        <f t="shared" si="21"/>
        <v>43468</v>
      </c>
      <c r="D67" s="126">
        <f t="shared" si="21"/>
        <v>43483</v>
      </c>
      <c r="E67" s="45" t="s">
        <v>14</v>
      </c>
      <c r="F67" s="42">
        <v>9</v>
      </c>
      <c r="G67" s="197">
        <v>697</v>
      </c>
      <c r="H67" s="127">
        <f t="shared" si="1"/>
        <v>809.3</v>
      </c>
      <c r="I67" s="128">
        <f t="shared" si="23"/>
        <v>624.94</v>
      </c>
      <c r="J67" s="46">
        <f t="shared" si="3"/>
        <v>435583.18000000005</v>
      </c>
      <c r="K67" s="47">
        <f t="shared" si="14"/>
        <v>564082.1</v>
      </c>
      <c r="L67" s="48">
        <f t="shared" si="22"/>
        <v>-128498.91999999993</v>
      </c>
      <c r="M67" s="27">
        <f t="shared" si="7"/>
        <v>-6339.30147287187</v>
      </c>
      <c r="N67" s="19">
        <f t="shared" si="8"/>
        <v>-134838.22147287178</v>
      </c>
      <c r="O67" s="27">
        <f t="shared" si="9"/>
        <v>730.81</v>
      </c>
      <c r="P67" s="27">
        <f t="shared" si="10"/>
        <v>509374.56999999995</v>
      </c>
      <c r="Q67" s="27">
        <f t="shared" si="11"/>
        <v>-54707.53000000003</v>
      </c>
      <c r="R67" s="19">
        <f t="shared" si="12"/>
        <v>-80130.69147287175</v>
      </c>
    </row>
    <row r="68" spans="1:18" ht="12.75">
      <c r="A68" s="10">
        <v>1</v>
      </c>
      <c r="B68" s="9">
        <f t="shared" si="5"/>
        <v>43101</v>
      </c>
      <c r="C68" s="125">
        <f aca="true" t="shared" si="24" ref="C68:D79">+C56</f>
        <v>43136</v>
      </c>
      <c r="D68" s="125">
        <f t="shared" si="24"/>
        <v>43151</v>
      </c>
      <c r="E68" s="60" t="s">
        <v>87</v>
      </c>
      <c r="F68" s="10">
        <v>9</v>
      </c>
      <c r="G68" s="196">
        <v>50</v>
      </c>
      <c r="H68" s="127">
        <f t="shared" si="1"/>
        <v>809.3</v>
      </c>
      <c r="I68" s="127">
        <f t="shared" si="23"/>
        <v>624.94</v>
      </c>
      <c r="J68" s="28">
        <f t="shared" si="3"/>
        <v>31247.000000000004</v>
      </c>
      <c r="K68" s="29">
        <f t="shared" si="14"/>
        <v>40465</v>
      </c>
      <c r="L68" s="30">
        <f t="shared" si="22"/>
        <v>-9217.999999999996</v>
      </c>
      <c r="M68" s="27">
        <f t="shared" si="7"/>
        <v>-454.756203218929</v>
      </c>
      <c r="N68" s="19">
        <f t="shared" si="8"/>
        <v>-9672.756203218925</v>
      </c>
      <c r="O68" s="27">
        <f t="shared" si="9"/>
        <v>730.81</v>
      </c>
      <c r="P68" s="27">
        <f t="shared" si="10"/>
        <v>36540.5</v>
      </c>
      <c r="Q68" s="27">
        <f t="shared" si="11"/>
        <v>-3924.5</v>
      </c>
      <c r="R68" s="19">
        <f t="shared" si="12"/>
        <v>-5748.256203218925</v>
      </c>
    </row>
    <row r="69" spans="1:18" ht="12.75">
      <c r="A69" s="3">
        <v>2</v>
      </c>
      <c r="B69" s="9">
        <f t="shared" si="5"/>
        <v>43132</v>
      </c>
      <c r="C69" s="126">
        <f t="shared" si="24"/>
        <v>43164</v>
      </c>
      <c r="D69" s="126">
        <f t="shared" si="24"/>
        <v>43179</v>
      </c>
      <c r="E69" s="35" t="s">
        <v>87</v>
      </c>
      <c r="F69" s="3">
        <v>9</v>
      </c>
      <c r="G69" s="196">
        <v>44</v>
      </c>
      <c r="H69" s="127">
        <f t="shared" si="1"/>
        <v>809.3</v>
      </c>
      <c r="I69" s="127">
        <f t="shared" si="23"/>
        <v>624.94</v>
      </c>
      <c r="J69" s="28">
        <f t="shared" si="3"/>
        <v>27497.36</v>
      </c>
      <c r="K69" s="29">
        <f t="shared" si="14"/>
        <v>35609.2</v>
      </c>
      <c r="L69" s="30">
        <f t="shared" si="22"/>
        <v>-8111.8399999999965</v>
      </c>
      <c r="M69" s="27">
        <f t="shared" si="7"/>
        <v>-400.1854588326575</v>
      </c>
      <c r="N69" s="19">
        <f t="shared" si="8"/>
        <v>-8512.025458832653</v>
      </c>
      <c r="O69" s="27">
        <f t="shared" si="9"/>
        <v>730.81</v>
      </c>
      <c r="P69" s="27">
        <f t="shared" si="10"/>
        <v>32155.64</v>
      </c>
      <c r="Q69" s="27">
        <f t="shared" si="11"/>
        <v>-3453.5599999999977</v>
      </c>
      <c r="R69" s="19">
        <f t="shared" si="12"/>
        <v>-5058.465458832656</v>
      </c>
    </row>
    <row r="70" spans="1:18" ht="12.75">
      <c r="A70" s="3">
        <v>3</v>
      </c>
      <c r="B70" s="9">
        <f t="shared" si="5"/>
        <v>43160</v>
      </c>
      <c r="C70" s="126">
        <f t="shared" si="24"/>
        <v>43194</v>
      </c>
      <c r="D70" s="126">
        <f t="shared" si="24"/>
        <v>43209</v>
      </c>
      <c r="E70" s="35" t="s">
        <v>87</v>
      </c>
      <c r="F70" s="3">
        <v>9</v>
      </c>
      <c r="G70" s="196">
        <v>31</v>
      </c>
      <c r="H70" s="127">
        <f t="shared" si="1"/>
        <v>809.3</v>
      </c>
      <c r="I70" s="127">
        <f t="shared" si="23"/>
        <v>624.94</v>
      </c>
      <c r="J70" s="28">
        <f t="shared" si="3"/>
        <v>19373.140000000003</v>
      </c>
      <c r="K70" s="29">
        <f t="shared" si="14"/>
        <v>25088.3</v>
      </c>
      <c r="L70" s="30">
        <f>+J70-K70</f>
        <v>-5715.159999999996</v>
      </c>
      <c r="M70" s="27">
        <f t="shared" si="7"/>
        <v>-281.94884599573595</v>
      </c>
      <c r="N70" s="19">
        <f t="shared" si="8"/>
        <v>-5997.108845995732</v>
      </c>
      <c r="O70" s="27">
        <f t="shared" si="9"/>
        <v>730.81</v>
      </c>
      <c r="P70" s="27">
        <f t="shared" si="10"/>
        <v>22655.109999999997</v>
      </c>
      <c r="Q70" s="27">
        <f t="shared" si="11"/>
        <v>-2433.1900000000023</v>
      </c>
      <c r="R70" s="19">
        <f t="shared" si="12"/>
        <v>-3563.9188459957295</v>
      </c>
    </row>
    <row r="71" spans="1:18" ht="12.75">
      <c r="A71" s="10">
        <v>4</v>
      </c>
      <c r="B71" s="9">
        <f t="shared" si="5"/>
        <v>43191</v>
      </c>
      <c r="C71" s="126">
        <f t="shared" si="24"/>
        <v>43223</v>
      </c>
      <c r="D71" s="126">
        <f t="shared" si="24"/>
        <v>43238</v>
      </c>
      <c r="E71" s="35" t="s">
        <v>87</v>
      </c>
      <c r="F71" s="3">
        <v>9</v>
      </c>
      <c r="G71" s="196">
        <v>23</v>
      </c>
      <c r="H71" s="127">
        <f t="shared" si="1"/>
        <v>809.3</v>
      </c>
      <c r="I71" s="127">
        <f t="shared" si="23"/>
        <v>624.94</v>
      </c>
      <c r="J71" s="28">
        <f t="shared" si="3"/>
        <v>14373.62</v>
      </c>
      <c r="K71" s="29">
        <f t="shared" si="14"/>
        <v>18613.899999999998</v>
      </c>
      <c r="L71" s="30">
        <f aca="true" t="shared" si="25" ref="L71:L79">+J71-K71</f>
        <v>-4240.279999999997</v>
      </c>
      <c r="M71" s="27">
        <f t="shared" si="7"/>
        <v>-209.18785348070733</v>
      </c>
      <c r="N71" s="19">
        <f t="shared" si="8"/>
        <v>-4449.467853480704</v>
      </c>
      <c r="O71" s="27">
        <f t="shared" si="9"/>
        <v>730.81</v>
      </c>
      <c r="P71" s="27">
        <f t="shared" si="10"/>
        <v>16808.629999999997</v>
      </c>
      <c r="Q71" s="27">
        <f t="shared" si="11"/>
        <v>-1805.2700000000004</v>
      </c>
      <c r="R71" s="19">
        <f t="shared" si="12"/>
        <v>-2644.197853480704</v>
      </c>
    </row>
    <row r="72" spans="1:18" ht="12.75">
      <c r="A72" s="3">
        <v>5</v>
      </c>
      <c r="B72" s="9">
        <f t="shared" si="5"/>
        <v>43221</v>
      </c>
      <c r="C72" s="126">
        <f t="shared" si="24"/>
        <v>43256</v>
      </c>
      <c r="D72" s="126">
        <f t="shared" si="24"/>
        <v>43271</v>
      </c>
      <c r="E72" s="35" t="s">
        <v>87</v>
      </c>
      <c r="F72" s="3">
        <v>9</v>
      </c>
      <c r="G72" s="196">
        <v>42</v>
      </c>
      <c r="H72" s="127">
        <f t="shared" si="1"/>
        <v>809.3</v>
      </c>
      <c r="I72" s="127">
        <f t="shared" si="23"/>
        <v>624.94</v>
      </c>
      <c r="J72" s="28">
        <f t="shared" si="3"/>
        <v>26247.480000000003</v>
      </c>
      <c r="K72" s="29">
        <f t="shared" si="14"/>
        <v>33990.6</v>
      </c>
      <c r="L72" s="30">
        <f t="shared" si="25"/>
        <v>-7743.119999999995</v>
      </c>
      <c r="M72" s="27">
        <f t="shared" si="7"/>
        <v>-381.99521070390034</v>
      </c>
      <c r="N72" s="19">
        <f t="shared" si="8"/>
        <v>-8125.115210703896</v>
      </c>
      <c r="O72" s="27">
        <f t="shared" si="9"/>
        <v>730.81</v>
      </c>
      <c r="P72" s="27">
        <f t="shared" si="10"/>
        <v>30694.019999999997</v>
      </c>
      <c r="Q72" s="27">
        <f t="shared" si="11"/>
        <v>-3296.5800000000017</v>
      </c>
      <c r="R72" s="19">
        <f t="shared" si="12"/>
        <v>-4828.535210703894</v>
      </c>
    </row>
    <row r="73" spans="1:18" ht="12.75">
      <c r="A73" s="3">
        <v>6</v>
      </c>
      <c r="B73" s="9">
        <f t="shared" si="5"/>
        <v>43252</v>
      </c>
      <c r="C73" s="126">
        <f t="shared" si="24"/>
        <v>43286</v>
      </c>
      <c r="D73" s="126">
        <f t="shared" si="24"/>
        <v>43301</v>
      </c>
      <c r="E73" s="35" t="s">
        <v>87</v>
      </c>
      <c r="F73" s="3">
        <v>9</v>
      </c>
      <c r="G73" s="196">
        <v>48</v>
      </c>
      <c r="H73" s="127">
        <f t="shared" si="1"/>
        <v>809.3</v>
      </c>
      <c r="I73" s="127">
        <f t="shared" si="23"/>
        <v>624.94</v>
      </c>
      <c r="J73" s="28">
        <f t="shared" si="3"/>
        <v>29997.120000000003</v>
      </c>
      <c r="K73" s="29">
        <f t="shared" si="14"/>
        <v>38846.399999999994</v>
      </c>
      <c r="L73" s="39">
        <f t="shared" si="25"/>
        <v>-8849.279999999992</v>
      </c>
      <c r="M73" s="27">
        <f t="shared" si="7"/>
        <v>-436.5659550901718</v>
      </c>
      <c r="N73" s="19">
        <f t="shared" si="8"/>
        <v>-9285.845955090163</v>
      </c>
      <c r="O73" s="27">
        <f t="shared" si="9"/>
        <v>730.81</v>
      </c>
      <c r="P73" s="27">
        <f t="shared" si="10"/>
        <v>35078.88</v>
      </c>
      <c r="Q73" s="27">
        <f t="shared" si="11"/>
        <v>-3767.519999999997</v>
      </c>
      <c r="R73" s="19">
        <f t="shared" si="12"/>
        <v>-5518.325955090166</v>
      </c>
    </row>
    <row r="74" spans="1:18" ht="12.75">
      <c r="A74" s="10">
        <v>7</v>
      </c>
      <c r="B74" s="9">
        <f t="shared" si="5"/>
        <v>43282</v>
      </c>
      <c r="C74" s="126">
        <f t="shared" si="24"/>
        <v>43315</v>
      </c>
      <c r="D74" s="126">
        <f t="shared" si="24"/>
        <v>43330</v>
      </c>
      <c r="E74" s="35" t="s">
        <v>87</v>
      </c>
      <c r="F74" s="3">
        <v>9</v>
      </c>
      <c r="G74" s="196">
        <v>53</v>
      </c>
      <c r="H74" s="127">
        <f t="shared" si="1"/>
        <v>809.3</v>
      </c>
      <c r="I74" s="127">
        <f t="shared" si="23"/>
        <v>624.94</v>
      </c>
      <c r="J74" s="28">
        <f t="shared" si="3"/>
        <v>33121.82</v>
      </c>
      <c r="K74" s="37">
        <f t="shared" si="14"/>
        <v>42892.899999999994</v>
      </c>
      <c r="L74" s="39">
        <f t="shared" si="25"/>
        <v>-9771.079999999994</v>
      </c>
      <c r="M74" s="27">
        <f t="shared" si="7"/>
        <v>-482.04157541206473</v>
      </c>
      <c r="N74" s="19">
        <f t="shared" si="8"/>
        <v>-10253.121575412059</v>
      </c>
      <c r="O74" s="27">
        <f t="shared" si="9"/>
        <v>730.81</v>
      </c>
      <c r="P74" s="27">
        <f t="shared" si="10"/>
        <v>38732.93</v>
      </c>
      <c r="Q74" s="27">
        <f t="shared" si="11"/>
        <v>-4159.969999999994</v>
      </c>
      <c r="R74" s="19">
        <f t="shared" si="12"/>
        <v>-6093.151575412065</v>
      </c>
    </row>
    <row r="75" spans="1:18" ht="12.75">
      <c r="A75" s="3">
        <v>8</v>
      </c>
      <c r="B75" s="9">
        <f t="shared" si="5"/>
        <v>43313</v>
      </c>
      <c r="C75" s="126">
        <f t="shared" si="24"/>
        <v>43348</v>
      </c>
      <c r="D75" s="126">
        <f t="shared" si="24"/>
        <v>43363</v>
      </c>
      <c r="E75" s="35" t="s">
        <v>87</v>
      </c>
      <c r="F75" s="3">
        <v>9</v>
      </c>
      <c r="G75" s="196">
        <v>45</v>
      </c>
      <c r="H75" s="127">
        <f t="shared" si="1"/>
        <v>809.3</v>
      </c>
      <c r="I75" s="127">
        <f t="shared" si="23"/>
        <v>624.94</v>
      </c>
      <c r="J75" s="28">
        <f t="shared" si="3"/>
        <v>28122.300000000003</v>
      </c>
      <c r="K75" s="37">
        <f t="shared" si="14"/>
        <v>36418.5</v>
      </c>
      <c r="L75" s="39">
        <f t="shared" si="25"/>
        <v>-8296.199999999997</v>
      </c>
      <c r="M75" s="27">
        <f t="shared" si="7"/>
        <v>-409.2805828970361</v>
      </c>
      <c r="N75" s="19">
        <f t="shared" si="8"/>
        <v>-8705.480582897033</v>
      </c>
      <c r="O75" s="27">
        <f t="shared" si="9"/>
        <v>730.81</v>
      </c>
      <c r="P75" s="27">
        <f t="shared" si="10"/>
        <v>32886.45</v>
      </c>
      <c r="Q75" s="27">
        <f t="shared" si="11"/>
        <v>-3532.050000000003</v>
      </c>
      <c r="R75" s="19">
        <f t="shared" si="12"/>
        <v>-5173.43058289703</v>
      </c>
    </row>
    <row r="76" spans="1:18" ht="12.75">
      <c r="A76" s="3">
        <v>9</v>
      </c>
      <c r="B76" s="9">
        <f t="shared" si="5"/>
        <v>43344</v>
      </c>
      <c r="C76" s="126">
        <f t="shared" si="24"/>
        <v>43376</v>
      </c>
      <c r="D76" s="126">
        <f t="shared" si="24"/>
        <v>43391</v>
      </c>
      <c r="E76" s="35" t="s">
        <v>87</v>
      </c>
      <c r="F76" s="3">
        <v>9</v>
      </c>
      <c r="G76" s="196">
        <v>43</v>
      </c>
      <c r="H76" s="127">
        <f t="shared" si="1"/>
        <v>809.3</v>
      </c>
      <c r="I76" s="127">
        <f t="shared" si="23"/>
        <v>624.94</v>
      </c>
      <c r="J76" s="28">
        <f t="shared" si="3"/>
        <v>26872.420000000002</v>
      </c>
      <c r="K76" s="37">
        <f t="shared" si="14"/>
        <v>34799.9</v>
      </c>
      <c r="L76" s="39">
        <f t="shared" si="25"/>
        <v>-7927.48</v>
      </c>
      <c r="M76" s="27">
        <f t="shared" si="7"/>
        <v>-391.0903347682789</v>
      </c>
      <c r="N76" s="19">
        <f t="shared" si="8"/>
        <v>-8318.57033476828</v>
      </c>
      <c r="O76" s="27">
        <f t="shared" si="9"/>
        <v>730.81</v>
      </c>
      <c r="P76" s="27">
        <f t="shared" si="10"/>
        <v>31424.829999999998</v>
      </c>
      <c r="Q76" s="27">
        <f t="shared" si="11"/>
        <v>-3375.0700000000033</v>
      </c>
      <c r="R76" s="19">
        <f t="shared" si="12"/>
        <v>-4943.500334768276</v>
      </c>
    </row>
    <row r="77" spans="1:18" ht="12.75">
      <c r="A77" s="10">
        <v>10</v>
      </c>
      <c r="B77" s="9">
        <f t="shared" si="5"/>
        <v>43374</v>
      </c>
      <c r="C77" s="126">
        <f t="shared" si="24"/>
        <v>43409</v>
      </c>
      <c r="D77" s="126">
        <f t="shared" si="24"/>
        <v>43424</v>
      </c>
      <c r="E77" s="35" t="s">
        <v>87</v>
      </c>
      <c r="F77" s="3">
        <v>9</v>
      </c>
      <c r="G77" s="196">
        <v>35</v>
      </c>
      <c r="H77" s="127">
        <f t="shared" si="1"/>
        <v>809.3</v>
      </c>
      <c r="I77" s="127">
        <f t="shared" si="23"/>
        <v>624.94</v>
      </c>
      <c r="J77" s="28">
        <f t="shared" si="3"/>
        <v>21872.9</v>
      </c>
      <c r="K77" s="37">
        <f t="shared" si="14"/>
        <v>28325.5</v>
      </c>
      <c r="L77" s="39">
        <f t="shared" si="25"/>
        <v>-6452.5999999999985</v>
      </c>
      <c r="M77" s="27">
        <f t="shared" si="7"/>
        <v>-318.3293422532503</v>
      </c>
      <c r="N77" s="19">
        <f t="shared" si="8"/>
        <v>-6770.929342253249</v>
      </c>
      <c r="O77" s="27">
        <f t="shared" si="9"/>
        <v>730.81</v>
      </c>
      <c r="P77" s="27">
        <f t="shared" si="10"/>
        <v>25578.35</v>
      </c>
      <c r="Q77" s="27">
        <f t="shared" si="11"/>
        <v>-2747.1500000000015</v>
      </c>
      <c r="R77" s="19">
        <f t="shared" si="12"/>
        <v>-4023.7793422532477</v>
      </c>
    </row>
    <row r="78" spans="1:18" ht="12.75">
      <c r="A78" s="3">
        <v>11</v>
      </c>
      <c r="B78" s="9">
        <f t="shared" si="5"/>
        <v>43405</v>
      </c>
      <c r="C78" s="126">
        <f t="shared" si="24"/>
        <v>43439</v>
      </c>
      <c r="D78" s="126">
        <f t="shared" si="24"/>
        <v>43454</v>
      </c>
      <c r="E78" s="35" t="s">
        <v>87</v>
      </c>
      <c r="F78" s="3">
        <v>9</v>
      </c>
      <c r="G78" s="196">
        <v>35</v>
      </c>
      <c r="H78" s="127">
        <f t="shared" si="1"/>
        <v>809.3</v>
      </c>
      <c r="I78" s="127">
        <f t="shared" si="23"/>
        <v>624.94</v>
      </c>
      <c r="J78" s="28">
        <f t="shared" si="3"/>
        <v>21872.9</v>
      </c>
      <c r="K78" s="37">
        <f>+$G78*H78</f>
        <v>28325.5</v>
      </c>
      <c r="L78" s="39">
        <f t="shared" si="25"/>
        <v>-6452.5999999999985</v>
      </c>
      <c r="M78" s="27">
        <f t="shared" si="7"/>
        <v>-318.3293422532503</v>
      </c>
      <c r="N78" s="19">
        <f t="shared" si="8"/>
        <v>-6770.929342253249</v>
      </c>
      <c r="O78" s="27">
        <f t="shared" si="9"/>
        <v>730.81</v>
      </c>
      <c r="P78" s="27">
        <f t="shared" si="10"/>
        <v>25578.35</v>
      </c>
      <c r="Q78" s="27">
        <f t="shared" si="11"/>
        <v>-2747.1500000000015</v>
      </c>
      <c r="R78" s="19">
        <f t="shared" si="12"/>
        <v>-4023.7793422532477</v>
      </c>
    </row>
    <row r="79" spans="1:18" s="34" customFormat="1" ht="12.75">
      <c r="A79" s="3">
        <v>12</v>
      </c>
      <c r="B79" s="44">
        <f t="shared" si="5"/>
        <v>43435</v>
      </c>
      <c r="C79" s="137">
        <f t="shared" si="24"/>
        <v>43468</v>
      </c>
      <c r="D79" s="137">
        <f t="shared" si="24"/>
        <v>43483</v>
      </c>
      <c r="E79" s="191" t="s">
        <v>87</v>
      </c>
      <c r="F79" s="42">
        <v>9</v>
      </c>
      <c r="G79" s="197">
        <v>36</v>
      </c>
      <c r="H79" s="127">
        <f t="shared" si="1"/>
        <v>809.3</v>
      </c>
      <c r="I79" s="128">
        <f t="shared" si="23"/>
        <v>624.94</v>
      </c>
      <c r="J79" s="46">
        <f t="shared" si="3"/>
        <v>22497.840000000004</v>
      </c>
      <c r="K79" s="47">
        <f>+$G79*H79</f>
        <v>29134.8</v>
      </c>
      <c r="L79" s="48">
        <f t="shared" si="25"/>
        <v>-6636.9599999999955</v>
      </c>
      <c r="M79" s="27">
        <f t="shared" si="7"/>
        <v>-327.42446631762886</v>
      </c>
      <c r="N79" s="19">
        <f t="shared" si="8"/>
        <v>-6964.384466317624</v>
      </c>
      <c r="O79" s="27">
        <f t="shared" si="9"/>
        <v>730.81</v>
      </c>
      <c r="P79" s="27">
        <f t="shared" si="10"/>
        <v>26309.159999999996</v>
      </c>
      <c r="Q79" s="27">
        <f t="shared" si="11"/>
        <v>-2825.640000000003</v>
      </c>
      <c r="R79" s="19">
        <f t="shared" si="12"/>
        <v>-4138.744466317621</v>
      </c>
    </row>
    <row r="80" spans="1:18" s="8" customFormat="1" ht="12.75" customHeight="1">
      <c r="A80" s="10">
        <v>1</v>
      </c>
      <c r="B80" s="9">
        <f t="shared" si="5"/>
        <v>43101</v>
      </c>
      <c r="C80" s="125">
        <f aca="true" t="shared" si="26" ref="C80:D91">+C56</f>
        <v>43136</v>
      </c>
      <c r="D80" s="125">
        <f t="shared" si="26"/>
        <v>43151</v>
      </c>
      <c r="E80" s="60" t="s">
        <v>9</v>
      </c>
      <c r="F80" s="10">
        <v>9</v>
      </c>
      <c r="G80" s="196">
        <v>47</v>
      </c>
      <c r="H80" s="127">
        <f t="shared" si="1"/>
        <v>809.3</v>
      </c>
      <c r="I80" s="127">
        <f t="shared" si="23"/>
        <v>624.94</v>
      </c>
      <c r="J80" s="28">
        <f t="shared" si="3"/>
        <v>29372.180000000004</v>
      </c>
      <c r="K80" s="29">
        <f t="shared" si="14"/>
        <v>38037.1</v>
      </c>
      <c r="L80" s="30">
        <f t="shared" si="22"/>
        <v>-8664.919999999995</v>
      </c>
      <c r="M80" s="27">
        <f t="shared" si="7"/>
        <v>-427.47083102579325</v>
      </c>
      <c r="N80" s="19">
        <f t="shared" si="8"/>
        <v>-9092.390831025788</v>
      </c>
      <c r="O80" s="27">
        <f t="shared" si="9"/>
        <v>730.81</v>
      </c>
      <c r="P80" s="27">
        <f t="shared" si="10"/>
        <v>34348.07</v>
      </c>
      <c r="Q80" s="27">
        <f t="shared" si="11"/>
        <v>-3689.029999999999</v>
      </c>
      <c r="R80" s="19">
        <f t="shared" si="12"/>
        <v>-5403.36083102579</v>
      </c>
    </row>
    <row r="81" spans="1:18" ht="12.75">
      <c r="A81" s="3">
        <v>2</v>
      </c>
      <c r="B81" s="9">
        <f t="shared" si="5"/>
        <v>43132</v>
      </c>
      <c r="C81" s="126">
        <f t="shared" si="26"/>
        <v>43164</v>
      </c>
      <c r="D81" s="126">
        <f t="shared" si="26"/>
        <v>43179</v>
      </c>
      <c r="E81" s="35" t="s">
        <v>9</v>
      </c>
      <c r="F81" s="3">
        <v>9</v>
      </c>
      <c r="G81" s="196">
        <v>41</v>
      </c>
      <c r="H81" s="127">
        <f t="shared" si="1"/>
        <v>809.3</v>
      </c>
      <c r="I81" s="127">
        <f t="shared" si="23"/>
        <v>624.94</v>
      </c>
      <c r="J81" s="28">
        <f t="shared" si="3"/>
        <v>25622.54</v>
      </c>
      <c r="K81" s="29">
        <f t="shared" si="14"/>
        <v>33181.299999999996</v>
      </c>
      <c r="L81" s="30">
        <f t="shared" si="22"/>
        <v>-7558.759999999995</v>
      </c>
      <c r="M81" s="27">
        <f t="shared" si="7"/>
        <v>-372.90008663952176</v>
      </c>
      <c r="N81" s="19">
        <f t="shared" si="8"/>
        <v>-7931.6600866395165</v>
      </c>
      <c r="O81" s="27">
        <f t="shared" si="9"/>
        <v>730.81</v>
      </c>
      <c r="P81" s="27">
        <f t="shared" si="10"/>
        <v>29963.21</v>
      </c>
      <c r="Q81" s="27">
        <f t="shared" si="11"/>
        <v>-3218.0899999999965</v>
      </c>
      <c r="R81" s="19">
        <f t="shared" si="12"/>
        <v>-4713.57008663952</v>
      </c>
    </row>
    <row r="82" spans="1:18" ht="12.75">
      <c r="A82" s="3">
        <v>3</v>
      </c>
      <c r="B82" s="9">
        <f t="shared" si="5"/>
        <v>43160</v>
      </c>
      <c r="C82" s="126">
        <f t="shared" si="26"/>
        <v>43194</v>
      </c>
      <c r="D82" s="126">
        <f t="shared" si="26"/>
        <v>43209</v>
      </c>
      <c r="E82" s="35" t="s">
        <v>9</v>
      </c>
      <c r="F82" s="3">
        <v>9</v>
      </c>
      <c r="G82" s="196">
        <v>34</v>
      </c>
      <c r="H82" s="127">
        <f t="shared" si="1"/>
        <v>809.3</v>
      </c>
      <c r="I82" s="127">
        <f t="shared" si="23"/>
        <v>624.94</v>
      </c>
      <c r="J82" s="28">
        <f t="shared" si="3"/>
        <v>21247.960000000003</v>
      </c>
      <c r="K82" s="29">
        <f t="shared" si="14"/>
        <v>27516.199999999997</v>
      </c>
      <c r="L82" s="30">
        <f>+J82-K82</f>
        <v>-6268.239999999994</v>
      </c>
      <c r="M82" s="27">
        <f t="shared" si="7"/>
        <v>-309.2342181888717</v>
      </c>
      <c r="N82" s="19">
        <f t="shared" si="8"/>
        <v>-6577.474218188866</v>
      </c>
      <c r="O82" s="27">
        <f t="shared" si="9"/>
        <v>730.81</v>
      </c>
      <c r="P82" s="27">
        <f t="shared" si="10"/>
        <v>24847.539999999997</v>
      </c>
      <c r="Q82" s="27">
        <f t="shared" si="11"/>
        <v>-2668.66</v>
      </c>
      <c r="R82" s="19">
        <f t="shared" si="12"/>
        <v>-3908.814218188866</v>
      </c>
    </row>
    <row r="83" spans="1:18" ht="12" customHeight="1">
      <c r="A83" s="10">
        <v>4</v>
      </c>
      <c r="B83" s="9">
        <f t="shared" si="5"/>
        <v>43191</v>
      </c>
      <c r="C83" s="126">
        <f t="shared" si="26"/>
        <v>43223</v>
      </c>
      <c r="D83" s="126">
        <f t="shared" si="26"/>
        <v>43238</v>
      </c>
      <c r="E83" s="20" t="s">
        <v>9</v>
      </c>
      <c r="F83" s="3">
        <v>9</v>
      </c>
      <c r="G83" s="196">
        <v>23</v>
      </c>
      <c r="H83" s="127">
        <f t="shared" si="1"/>
        <v>809.3</v>
      </c>
      <c r="I83" s="127">
        <f t="shared" si="23"/>
        <v>624.94</v>
      </c>
      <c r="J83" s="28">
        <f t="shared" si="3"/>
        <v>14373.62</v>
      </c>
      <c r="K83" s="29">
        <f t="shared" si="14"/>
        <v>18613.899999999998</v>
      </c>
      <c r="L83" s="30">
        <f aca="true" t="shared" si="27" ref="L83:L93">+J83-K83</f>
        <v>-4240.279999999997</v>
      </c>
      <c r="M83" s="27">
        <f t="shared" si="7"/>
        <v>-209.18785348070733</v>
      </c>
      <c r="N83" s="19">
        <f t="shared" si="8"/>
        <v>-4449.467853480704</v>
      </c>
      <c r="O83" s="27">
        <f t="shared" si="9"/>
        <v>730.81</v>
      </c>
      <c r="P83" s="27">
        <f t="shared" si="10"/>
        <v>16808.629999999997</v>
      </c>
      <c r="Q83" s="27">
        <f t="shared" si="11"/>
        <v>-1805.2700000000004</v>
      </c>
      <c r="R83" s="19">
        <f t="shared" si="12"/>
        <v>-2644.197853480704</v>
      </c>
    </row>
    <row r="84" spans="1:18" ht="12" customHeight="1">
      <c r="A84" s="3">
        <v>5</v>
      </c>
      <c r="B84" s="9">
        <f t="shared" si="5"/>
        <v>43221</v>
      </c>
      <c r="C84" s="126">
        <f t="shared" si="26"/>
        <v>43256</v>
      </c>
      <c r="D84" s="126">
        <f t="shared" si="26"/>
        <v>43271</v>
      </c>
      <c r="E84" s="20" t="s">
        <v>9</v>
      </c>
      <c r="F84" s="3">
        <v>9</v>
      </c>
      <c r="G84" s="196">
        <v>36</v>
      </c>
      <c r="H84" s="127">
        <f aca="true" t="shared" si="28" ref="H84:H147">$K$3</f>
        <v>809.3</v>
      </c>
      <c r="I84" s="127">
        <f t="shared" si="23"/>
        <v>624.94</v>
      </c>
      <c r="J84" s="28">
        <f t="shared" si="3"/>
        <v>22497.840000000004</v>
      </c>
      <c r="K84" s="29">
        <f t="shared" si="14"/>
        <v>29134.8</v>
      </c>
      <c r="L84" s="30">
        <f t="shared" si="27"/>
        <v>-6636.9599999999955</v>
      </c>
      <c r="M84" s="27">
        <f t="shared" si="7"/>
        <v>-327.42446631762886</v>
      </c>
      <c r="N84" s="19">
        <f t="shared" si="8"/>
        <v>-6964.384466317624</v>
      </c>
      <c r="O84" s="27">
        <f t="shared" si="9"/>
        <v>730.81</v>
      </c>
      <c r="P84" s="27">
        <f t="shared" si="10"/>
        <v>26309.159999999996</v>
      </c>
      <c r="Q84" s="27">
        <f t="shared" si="11"/>
        <v>-2825.640000000003</v>
      </c>
      <c r="R84" s="19">
        <f t="shared" si="12"/>
        <v>-4138.744466317621</v>
      </c>
    </row>
    <row r="85" spans="1:18" ht="12.75">
      <c r="A85" s="3">
        <v>6</v>
      </c>
      <c r="B85" s="9">
        <f t="shared" si="5"/>
        <v>43252</v>
      </c>
      <c r="C85" s="126">
        <f t="shared" si="26"/>
        <v>43286</v>
      </c>
      <c r="D85" s="126">
        <f t="shared" si="26"/>
        <v>43301</v>
      </c>
      <c r="E85" s="20" t="s">
        <v>9</v>
      </c>
      <c r="F85" s="3">
        <v>9</v>
      </c>
      <c r="G85" s="196">
        <v>38</v>
      </c>
      <c r="H85" s="127">
        <f t="shared" si="28"/>
        <v>809.3</v>
      </c>
      <c r="I85" s="127">
        <f t="shared" si="23"/>
        <v>624.94</v>
      </c>
      <c r="J85" s="28">
        <f t="shared" si="3"/>
        <v>23747.72</v>
      </c>
      <c r="K85" s="29">
        <f t="shared" si="14"/>
        <v>30753.399999999998</v>
      </c>
      <c r="L85" s="39">
        <f t="shared" si="27"/>
        <v>-7005.679999999997</v>
      </c>
      <c r="M85" s="27">
        <f aca="true" t="shared" si="29" ref="M85:M148">G85/$G$212*$M$14</f>
        <v>-345.614714446386</v>
      </c>
      <c r="N85" s="19">
        <f aca="true" t="shared" si="30" ref="N85:N148">SUM(L85:M85)</f>
        <v>-7351.294714446382</v>
      </c>
      <c r="O85" s="27">
        <f aca="true" t="shared" si="31" ref="O85:O148">+$P$3</f>
        <v>730.81</v>
      </c>
      <c r="P85" s="27">
        <f aca="true" t="shared" si="32" ref="P85:P148">+G85*O85</f>
        <v>27770.78</v>
      </c>
      <c r="Q85" s="27">
        <f aca="true" t="shared" si="33" ref="Q85:Q148">+P85-K85</f>
        <v>-2982.619999999999</v>
      </c>
      <c r="R85" s="19">
        <f aca="true" t="shared" si="34" ref="R85:R148">+N85-Q85</f>
        <v>-4368.674714446383</v>
      </c>
    </row>
    <row r="86" spans="1:18" ht="12.75">
      <c r="A86" s="10">
        <v>7</v>
      </c>
      <c r="B86" s="9">
        <f t="shared" si="5"/>
        <v>43282</v>
      </c>
      <c r="C86" s="126">
        <f t="shared" si="26"/>
        <v>43315</v>
      </c>
      <c r="D86" s="126">
        <f t="shared" si="26"/>
        <v>43330</v>
      </c>
      <c r="E86" s="20" t="s">
        <v>9</v>
      </c>
      <c r="F86" s="3">
        <v>9</v>
      </c>
      <c r="G86" s="196">
        <v>42</v>
      </c>
      <c r="H86" s="127">
        <f t="shared" si="28"/>
        <v>809.3</v>
      </c>
      <c r="I86" s="127">
        <f t="shared" si="23"/>
        <v>624.94</v>
      </c>
      <c r="J86" s="28">
        <f t="shared" si="3"/>
        <v>26247.480000000003</v>
      </c>
      <c r="K86" s="37">
        <f t="shared" si="14"/>
        <v>33990.6</v>
      </c>
      <c r="L86" s="39">
        <f t="shared" si="27"/>
        <v>-7743.119999999995</v>
      </c>
      <c r="M86" s="27">
        <f t="shared" si="29"/>
        <v>-381.99521070390034</v>
      </c>
      <c r="N86" s="19">
        <f t="shared" si="30"/>
        <v>-8125.115210703896</v>
      </c>
      <c r="O86" s="27">
        <f t="shared" si="31"/>
        <v>730.81</v>
      </c>
      <c r="P86" s="27">
        <f t="shared" si="32"/>
        <v>30694.019999999997</v>
      </c>
      <c r="Q86" s="27">
        <f t="shared" si="33"/>
        <v>-3296.5800000000017</v>
      </c>
      <c r="R86" s="19">
        <f t="shared" si="34"/>
        <v>-4828.535210703894</v>
      </c>
    </row>
    <row r="87" spans="1:18" ht="12.75">
      <c r="A87" s="3">
        <v>8</v>
      </c>
      <c r="B87" s="9">
        <f t="shared" si="5"/>
        <v>43313</v>
      </c>
      <c r="C87" s="126">
        <f t="shared" si="26"/>
        <v>43348</v>
      </c>
      <c r="D87" s="126">
        <f t="shared" si="26"/>
        <v>43363</v>
      </c>
      <c r="E87" s="20" t="s">
        <v>9</v>
      </c>
      <c r="F87" s="3">
        <v>9</v>
      </c>
      <c r="G87" s="196">
        <v>37</v>
      </c>
      <c r="H87" s="127">
        <f t="shared" si="28"/>
        <v>809.3</v>
      </c>
      <c r="I87" s="127">
        <f t="shared" si="23"/>
        <v>624.94</v>
      </c>
      <c r="J87" s="28">
        <f t="shared" si="3"/>
        <v>23122.780000000002</v>
      </c>
      <c r="K87" s="37">
        <f t="shared" si="14"/>
        <v>29944.1</v>
      </c>
      <c r="L87" s="39">
        <f t="shared" si="27"/>
        <v>-6821.319999999996</v>
      </c>
      <c r="M87" s="27">
        <f t="shared" si="29"/>
        <v>-336.51959038200744</v>
      </c>
      <c r="N87" s="19">
        <f t="shared" si="30"/>
        <v>-7157.839590382004</v>
      </c>
      <c r="O87" s="27">
        <f t="shared" si="31"/>
        <v>730.81</v>
      </c>
      <c r="P87" s="27">
        <f t="shared" si="32"/>
        <v>27039.969999999998</v>
      </c>
      <c r="Q87" s="27">
        <f t="shared" si="33"/>
        <v>-2904.130000000001</v>
      </c>
      <c r="R87" s="19">
        <f t="shared" si="34"/>
        <v>-4253.709590382003</v>
      </c>
    </row>
    <row r="88" spans="1:18" ht="12.75">
      <c r="A88" s="3">
        <v>9</v>
      </c>
      <c r="B88" s="9">
        <f t="shared" si="5"/>
        <v>43344</v>
      </c>
      <c r="C88" s="126">
        <f t="shared" si="26"/>
        <v>43376</v>
      </c>
      <c r="D88" s="126">
        <f t="shared" si="26"/>
        <v>43391</v>
      </c>
      <c r="E88" s="20" t="s">
        <v>9</v>
      </c>
      <c r="F88" s="3">
        <v>9</v>
      </c>
      <c r="G88" s="196">
        <v>36</v>
      </c>
      <c r="H88" s="127">
        <f t="shared" si="28"/>
        <v>809.3</v>
      </c>
      <c r="I88" s="127">
        <f t="shared" si="23"/>
        <v>624.94</v>
      </c>
      <c r="J88" s="28">
        <f t="shared" si="3"/>
        <v>22497.840000000004</v>
      </c>
      <c r="K88" s="37">
        <f t="shared" si="14"/>
        <v>29134.8</v>
      </c>
      <c r="L88" s="39">
        <f t="shared" si="27"/>
        <v>-6636.9599999999955</v>
      </c>
      <c r="M88" s="27">
        <f t="shared" si="29"/>
        <v>-327.42446631762886</v>
      </c>
      <c r="N88" s="19">
        <f t="shared" si="30"/>
        <v>-6964.384466317624</v>
      </c>
      <c r="O88" s="27">
        <f t="shared" si="31"/>
        <v>730.81</v>
      </c>
      <c r="P88" s="27">
        <f t="shared" si="32"/>
        <v>26309.159999999996</v>
      </c>
      <c r="Q88" s="27">
        <f t="shared" si="33"/>
        <v>-2825.640000000003</v>
      </c>
      <c r="R88" s="19">
        <f t="shared" si="34"/>
        <v>-4138.744466317621</v>
      </c>
    </row>
    <row r="89" spans="1:18" ht="12.75">
      <c r="A89" s="10">
        <v>10</v>
      </c>
      <c r="B89" s="9">
        <f t="shared" si="5"/>
        <v>43374</v>
      </c>
      <c r="C89" s="126">
        <f t="shared" si="26"/>
        <v>43409</v>
      </c>
      <c r="D89" s="126">
        <f t="shared" si="26"/>
        <v>43424</v>
      </c>
      <c r="E89" s="20" t="s">
        <v>9</v>
      </c>
      <c r="F89" s="3">
        <v>9</v>
      </c>
      <c r="G89" s="196">
        <v>33</v>
      </c>
      <c r="H89" s="127">
        <f t="shared" si="28"/>
        <v>809.3</v>
      </c>
      <c r="I89" s="127">
        <f t="shared" si="23"/>
        <v>624.94</v>
      </c>
      <c r="J89" s="28">
        <f t="shared" si="3"/>
        <v>20623.02</v>
      </c>
      <c r="K89" s="37">
        <f t="shared" si="14"/>
        <v>26706.899999999998</v>
      </c>
      <c r="L89" s="39">
        <f t="shared" si="27"/>
        <v>-6083.879999999997</v>
      </c>
      <c r="M89" s="27">
        <f t="shared" si="29"/>
        <v>-300.1390941244931</v>
      </c>
      <c r="N89" s="19">
        <f t="shared" si="30"/>
        <v>-6384.019094124491</v>
      </c>
      <c r="O89" s="27">
        <f t="shared" si="31"/>
        <v>730.81</v>
      </c>
      <c r="P89" s="27">
        <f t="shared" si="32"/>
        <v>24116.73</v>
      </c>
      <c r="Q89" s="27">
        <f t="shared" si="33"/>
        <v>-2590.1699999999983</v>
      </c>
      <c r="R89" s="19">
        <f t="shared" si="34"/>
        <v>-3793.8490941244927</v>
      </c>
    </row>
    <row r="90" spans="1:18" ht="12.75">
      <c r="A90" s="3">
        <v>11</v>
      </c>
      <c r="B90" s="9">
        <f t="shared" si="5"/>
        <v>43405</v>
      </c>
      <c r="C90" s="126">
        <f t="shared" si="26"/>
        <v>43439</v>
      </c>
      <c r="D90" s="126">
        <f t="shared" si="26"/>
        <v>43454</v>
      </c>
      <c r="E90" s="20" t="s">
        <v>9</v>
      </c>
      <c r="F90" s="3">
        <v>9</v>
      </c>
      <c r="G90" s="196">
        <v>36</v>
      </c>
      <c r="H90" s="127">
        <f t="shared" si="28"/>
        <v>809.3</v>
      </c>
      <c r="I90" s="127">
        <f t="shared" si="23"/>
        <v>624.94</v>
      </c>
      <c r="J90" s="28">
        <f t="shared" si="3"/>
        <v>22497.840000000004</v>
      </c>
      <c r="K90" s="37">
        <f t="shared" si="14"/>
        <v>29134.8</v>
      </c>
      <c r="L90" s="39">
        <f t="shared" si="27"/>
        <v>-6636.9599999999955</v>
      </c>
      <c r="M90" s="27">
        <f t="shared" si="29"/>
        <v>-327.42446631762886</v>
      </c>
      <c r="N90" s="19">
        <f t="shared" si="30"/>
        <v>-6964.384466317624</v>
      </c>
      <c r="O90" s="27">
        <f t="shared" si="31"/>
        <v>730.81</v>
      </c>
      <c r="P90" s="27">
        <f t="shared" si="32"/>
        <v>26309.159999999996</v>
      </c>
      <c r="Q90" s="27">
        <f t="shared" si="33"/>
        <v>-2825.640000000003</v>
      </c>
      <c r="R90" s="19">
        <f t="shared" si="34"/>
        <v>-4138.744466317621</v>
      </c>
    </row>
    <row r="91" spans="1:18" s="34" customFormat="1" ht="12.75">
      <c r="A91" s="3">
        <v>12</v>
      </c>
      <c r="B91" s="44">
        <f t="shared" si="5"/>
        <v>43435</v>
      </c>
      <c r="C91" s="126">
        <f t="shared" si="26"/>
        <v>43468</v>
      </c>
      <c r="D91" s="126">
        <f t="shared" si="26"/>
        <v>43483</v>
      </c>
      <c r="E91" s="45" t="s">
        <v>9</v>
      </c>
      <c r="F91" s="42">
        <v>9</v>
      </c>
      <c r="G91" s="197">
        <v>38</v>
      </c>
      <c r="H91" s="127">
        <f t="shared" si="28"/>
        <v>809.3</v>
      </c>
      <c r="I91" s="128">
        <f t="shared" si="23"/>
        <v>624.94</v>
      </c>
      <c r="J91" s="46">
        <f t="shared" si="3"/>
        <v>23747.72</v>
      </c>
      <c r="K91" s="47">
        <f t="shared" si="14"/>
        <v>30753.399999999998</v>
      </c>
      <c r="L91" s="48">
        <f t="shared" si="27"/>
        <v>-7005.679999999997</v>
      </c>
      <c r="M91" s="27">
        <f t="shared" si="29"/>
        <v>-345.614714446386</v>
      </c>
      <c r="N91" s="19">
        <f t="shared" si="30"/>
        <v>-7351.294714446382</v>
      </c>
      <c r="O91" s="27">
        <f t="shared" si="31"/>
        <v>730.81</v>
      </c>
      <c r="P91" s="27">
        <f t="shared" si="32"/>
        <v>27770.78</v>
      </c>
      <c r="Q91" s="27">
        <f t="shared" si="33"/>
        <v>-2982.619999999999</v>
      </c>
      <c r="R91" s="19">
        <f t="shared" si="34"/>
        <v>-4368.674714446383</v>
      </c>
    </row>
    <row r="92" spans="1:18" ht="12.75">
      <c r="A92" s="10">
        <v>1</v>
      </c>
      <c r="B92" s="9">
        <f t="shared" si="5"/>
        <v>43101</v>
      </c>
      <c r="C92" s="125">
        <f aca="true" t="shared" si="35" ref="C92:D95">+C80</f>
        <v>43136</v>
      </c>
      <c r="D92" s="125">
        <f t="shared" si="35"/>
        <v>43151</v>
      </c>
      <c r="E92" s="60" t="s">
        <v>8</v>
      </c>
      <c r="F92" s="10">
        <v>9</v>
      </c>
      <c r="G92" s="196">
        <v>99</v>
      </c>
      <c r="H92" s="127">
        <f t="shared" si="28"/>
        <v>809.3</v>
      </c>
      <c r="I92" s="127">
        <f t="shared" si="23"/>
        <v>624.94</v>
      </c>
      <c r="J92" s="28">
        <f t="shared" si="3"/>
        <v>61869.060000000005</v>
      </c>
      <c r="K92" s="29">
        <f t="shared" si="14"/>
        <v>80120.7</v>
      </c>
      <c r="L92" s="30">
        <f t="shared" si="27"/>
        <v>-18251.639999999992</v>
      </c>
      <c r="M92" s="27">
        <f t="shared" si="29"/>
        <v>-900.4172823734793</v>
      </c>
      <c r="N92" s="19">
        <f t="shared" si="30"/>
        <v>-19152.057282373473</v>
      </c>
      <c r="O92" s="27">
        <f t="shared" si="31"/>
        <v>730.81</v>
      </c>
      <c r="P92" s="27">
        <f t="shared" si="32"/>
        <v>72350.18999999999</v>
      </c>
      <c r="Q92" s="27">
        <f t="shared" si="33"/>
        <v>-7770.510000000009</v>
      </c>
      <c r="R92" s="19">
        <f t="shared" si="34"/>
        <v>-11381.547282373464</v>
      </c>
    </row>
    <row r="93" spans="1:18" ht="12.75">
      <c r="A93" s="3">
        <v>2</v>
      </c>
      <c r="B93" s="9">
        <f t="shared" si="5"/>
        <v>43132</v>
      </c>
      <c r="C93" s="126">
        <f t="shared" si="35"/>
        <v>43164</v>
      </c>
      <c r="D93" s="126">
        <f t="shared" si="35"/>
        <v>43179</v>
      </c>
      <c r="E93" s="35" t="s">
        <v>8</v>
      </c>
      <c r="F93" s="3">
        <v>9</v>
      </c>
      <c r="G93" s="196">
        <v>84</v>
      </c>
      <c r="H93" s="127">
        <f t="shared" si="28"/>
        <v>809.3</v>
      </c>
      <c r="I93" s="127">
        <f t="shared" si="23"/>
        <v>624.94</v>
      </c>
      <c r="J93" s="28">
        <f t="shared" si="3"/>
        <v>52494.96000000001</v>
      </c>
      <c r="K93" s="29">
        <f t="shared" si="14"/>
        <v>67981.2</v>
      </c>
      <c r="L93" s="30">
        <f t="shared" si="27"/>
        <v>-15486.23999999999</v>
      </c>
      <c r="M93" s="27">
        <f t="shared" si="29"/>
        <v>-763.9904214078007</v>
      </c>
      <c r="N93" s="19">
        <f t="shared" si="30"/>
        <v>-16250.230421407792</v>
      </c>
      <c r="O93" s="27">
        <f t="shared" si="31"/>
        <v>730.81</v>
      </c>
      <c r="P93" s="27">
        <f t="shared" si="32"/>
        <v>61388.03999999999</v>
      </c>
      <c r="Q93" s="27">
        <f t="shared" si="33"/>
        <v>-6593.1600000000035</v>
      </c>
      <c r="R93" s="19">
        <f t="shared" si="34"/>
        <v>-9657.070421407789</v>
      </c>
    </row>
    <row r="94" spans="1:18" ht="12.75">
      <c r="A94" s="3">
        <v>3</v>
      </c>
      <c r="B94" s="9">
        <f t="shared" si="5"/>
        <v>43160</v>
      </c>
      <c r="C94" s="126">
        <f t="shared" si="35"/>
        <v>43194</v>
      </c>
      <c r="D94" s="126">
        <f t="shared" si="35"/>
        <v>43209</v>
      </c>
      <c r="E94" s="35" t="s">
        <v>8</v>
      </c>
      <c r="F94" s="3">
        <v>9</v>
      </c>
      <c r="G94" s="196">
        <v>68</v>
      </c>
      <c r="H94" s="127">
        <f t="shared" si="28"/>
        <v>809.3</v>
      </c>
      <c r="I94" s="127">
        <f t="shared" si="23"/>
        <v>624.94</v>
      </c>
      <c r="J94" s="28">
        <f t="shared" si="3"/>
        <v>42495.920000000006</v>
      </c>
      <c r="K94" s="29">
        <f aca="true" t="shared" si="36" ref="K94:K133">+$G94*H94</f>
        <v>55032.399999999994</v>
      </c>
      <c r="L94" s="30">
        <f>+J94-K94</f>
        <v>-12536.479999999989</v>
      </c>
      <c r="M94" s="27">
        <f t="shared" si="29"/>
        <v>-618.4684363777434</v>
      </c>
      <c r="N94" s="19">
        <f t="shared" si="30"/>
        <v>-13154.948436377732</v>
      </c>
      <c r="O94" s="27">
        <f t="shared" si="31"/>
        <v>730.81</v>
      </c>
      <c r="P94" s="27">
        <f t="shared" si="32"/>
        <v>49695.079999999994</v>
      </c>
      <c r="Q94" s="27">
        <f t="shared" si="33"/>
        <v>-5337.32</v>
      </c>
      <c r="R94" s="19">
        <f t="shared" si="34"/>
        <v>-7817.628436377732</v>
      </c>
    </row>
    <row r="95" spans="1:18" ht="12.75">
      <c r="A95" s="10">
        <v>4</v>
      </c>
      <c r="B95" s="9">
        <f t="shared" si="5"/>
        <v>43191</v>
      </c>
      <c r="C95" s="126">
        <f t="shared" si="35"/>
        <v>43223</v>
      </c>
      <c r="D95" s="126">
        <f t="shared" si="35"/>
        <v>43238</v>
      </c>
      <c r="E95" s="35" t="s">
        <v>8</v>
      </c>
      <c r="F95" s="3">
        <v>9</v>
      </c>
      <c r="G95" s="196">
        <v>74</v>
      </c>
      <c r="H95" s="127">
        <f t="shared" si="28"/>
        <v>809.3</v>
      </c>
      <c r="I95" s="127">
        <f t="shared" si="23"/>
        <v>624.94</v>
      </c>
      <c r="J95" s="28">
        <f t="shared" si="3"/>
        <v>46245.560000000005</v>
      </c>
      <c r="K95" s="29">
        <f t="shared" si="36"/>
        <v>59888.2</v>
      </c>
      <c r="L95" s="30">
        <f aca="true" t="shared" si="37" ref="L95:L105">+J95-K95</f>
        <v>-13642.639999999992</v>
      </c>
      <c r="M95" s="27">
        <f t="shared" si="29"/>
        <v>-673.0391807640149</v>
      </c>
      <c r="N95" s="19">
        <f t="shared" si="30"/>
        <v>-14315.679180764007</v>
      </c>
      <c r="O95" s="27">
        <f t="shared" si="31"/>
        <v>730.81</v>
      </c>
      <c r="P95" s="27">
        <f t="shared" si="32"/>
        <v>54079.939999999995</v>
      </c>
      <c r="Q95" s="27">
        <f t="shared" si="33"/>
        <v>-5808.260000000002</v>
      </c>
      <c r="R95" s="19">
        <f t="shared" si="34"/>
        <v>-8507.419180764005</v>
      </c>
    </row>
    <row r="96" spans="1:18" ht="12.75">
      <c r="A96" s="3">
        <v>5</v>
      </c>
      <c r="B96" s="9">
        <f t="shared" si="5"/>
        <v>43221</v>
      </c>
      <c r="C96" s="126">
        <f aca="true" t="shared" si="38" ref="C96:D116">+C84</f>
        <v>43256</v>
      </c>
      <c r="D96" s="126">
        <f t="shared" si="38"/>
        <v>43271</v>
      </c>
      <c r="E96" s="20" t="s">
        <v>8</v>
      </c>
      <c r="F96" s="3">
        <v>9</v>
      </c>
      <c r="G96" s="196">
        <v>138</v>
      </c>
      <c r="H96" s="127">
        <f t="shared" si="28"/>
        <v>809.3</v>
      </c>
      <c r="I96" s="127">
        <f t="shared" si="23"/>
        <v>624.94</v>
      </c>
      <c r="J96" s="28">
        <f t="shared" si="3"/>
        <v>86241.72</v>
      </c>
      <c r="K96" s="29">
        <f t="shared" si="36"/>
        <v>111683.4</v>
      </c>
      <c r="L96" s="30">
        <f t="shared" si="37"/>
        <v>-25441.679999999993</v>
      </c>
      <c r="M96" s="27">
        <f t="shared" si="29"/>
        <v>-1255.127120884244</v>
      </c>
      <c r="N96" s="19">
        <f t="shared" si="30"/>
        <v>-26696.807120884238</v>
      </c>
      <c r="O96" s="27">
        <f t="shared" si="31"/>
        <v>730.81</v>
      </c>
      <c r="P96" s="27">
        <f t="shared" si="32"/>
        <v>100851.78</v>
      </c>
      <c r="Q96" s="27">
        <f t="shared" si="33"/>
        <v>-10831.619999999995</v>
      </c>
      <c r="R96" s="19">
        <f t="shared" si="34"/>
        <v>-15865.187120884242</v>
      </c>
    </row>
    <row r="97" spans="1:18" ht="12.75">
      <c r="A97" s="3">
        <v>6</v>
      </c>
      <c r="B97" s="9">
        <f t="shared" si="5"/>
        <v>43252</v>
      </c>
      <c r="C97" s="126">
        <f t="shared" si="38"/>
        <v>43286</v>
      </c>
      <c r="D97" s="126">
        <f t="shared" si="38"/>
        <v>43301</v>
      </c>
      <c r="E97" s="20" t="s">
        <v>8</v>
      </c>
      <c r="F97" s="3">
        <v>9</v>
      </c>
      <c r="G97" s="196">
        <v>149</v>
      </c>
      <c r="H97" s="127">
        <f t="shared" si="28"/>
        <v>809.3</v>
      </c>
      <c r="I97" s="127">
        <f t="shared" si="23"/>
        <v>624.94</v>
      </c>
      <c r="J97" s="28">
        <f t="shared" si="3"/>
        <v>93116.06000000001</v>
      </c>
      <c r="K97" s="29">
        <f t="shared" si="36"/>
        <v>120585.7</v>
      </c>
      <c r="L97" s="39">
        <f t="shared" si="37"/>
        <v>-27469.639999999985</v>
      </c>
      <c r="M97" s="27">
        <f t="shared" si="29"/>
        <v>-1355.1734855924085</v>
      </c>
      <c r="N97" s="19">
        <f t="shared" si="30"/>
        <v>-28824.813485592393</v>
      </c>
      <c r="O97" s="27">
        <f t="shared" si="31"/>
        <v>730.81</v>
      </c>
      <c r="P97" s="27">
        <f t="shared" si="32"/>
        <v>108890.68999999999</v>
      </c>
      <c r="Q97" s="27">
        <f t="shared" si="33"/>
        <v>-11695.01000000001</v>
      </c>
      <c r="R97" s="19">
        <f t="shared" si="34"/>
        <v>-17129.803485592383</v>
      </c>
    </row>
    <row r="98" spans="1:18" ht="12.75">
      <c r="A98" s="10">
        <v>7</v>
      </c>
      <c r="B98" s="9">
        <f t="shared" si="5"/>
        <v>43282</v>
      </c>
      <c r="C98" s="126">
        <f t="shared" si="38"/>
        <v>43315</v>
      </c>
      <c r="D98" s="126">
        <f t="shared" si="38"/>
        <v>43330</v>
      </c>
      <c r="E98" s="20" t="s">
        <v>8</v>
      </c>
      <c r="F98" s="3">
        <v>9</v>
      </c>
      <c r="G98" s="196">
        <v>160</v>
      </c>
      <c r="H98" s="127">
        <f t="shared" si="28"/>
        <v>809.3</v>
      </c>
      <c r="I98" s="127">
        <f t="shared" si="23"/>
        <v>624.94</v>
      </c>
      <c r="J98" s="28">
        <f t="shared" si="3"/>
        <v>99990.40000000001</v>
      </c>
      <c r="K98" s="37">
        <f t="shared" si="36"/>
        <v>129488</v>
      </c>
      <c r="L98" s="39">
        <f t="shared" si="37"/>
        <v>-29497.59999999999</v>
      </c>
      <c r="M98" s="27">
        <f t="shared" si="29"/>
        <v>-1455.2198503005727</v>
      </c>
      <c r="N98" s="19">
        <f t="shared" si="30"/>
        <v>-30952.819850300562</v>
      </c>
      <c r="O98" s="27">
        <f t="shared" si="31"/>
        <v>730.81</v>
      </c>
      <c r="P98" s="27">
        <f t="shared" si="32"/>
        <v>116929.59999999999</v>
      </c>
      <c r="Q98" s="27">
        <f t="shared" si="33"/>
        <v>-12558.400000000009</v>
      </c>
      <c r="R98" s="19">
        <f t="shared" si="34"/>
        <v>-18394.419850300554</v>
      </c>
    </row>
    <row r="99" spans="1:18" ht="12.75">
      <c r="A99" s="3">
        <v>8</v>
      </c>
      <c r="B99" s="9">
        <f t="shared" si="5"/>
        <v>43313</v>
      </c>
      <c r="C99" s="126">
        <f t="shared" si="38"/>
        <v>43348</v>
      </c>
      <c r="D99" s="126">
        <f t="shared" si="38"/>
        <v>43363</v>
      </c>
      <c r="E99" s="20" t="s">
        <v>8</v>
      </c>
      <c r="F99" s="3">
        <v>9</v>
      </c>
      <c r="G99" s="196">
        <v>143</v>
      </c>
      <c r="H99" s="127">
        <f t="shared" si="28"/>
        <v>809.3</v>
      </c>
      <c r="I99" s="127">
        <f t="shared" si="23"/>
        <v>624.94</v>
      </c>
      <c r="J99" s="28">
        <f t="shared" si="3"/>
        <v>89366.42000000001</v>
      </c>
      <c r="K99" s="37">
        <f t="shared" si="36"/>
        <v>115729.9</v>
      </c>
      <c r="L99" s="39">
        <f t="shared" si="37"/>
        <v>-26363.47999999998</v>
      </c>
      <c r="M99" s="27">
        <f t="shared" si="29"/>
        <v>-1300.602741206137</v>
      </c>
      <c r="N99" s="19">
        <f t="shared" si="30"/>
        <v>-27664.08274120612</v>
      </c>
      <c r="O99" s="27">
        <f t="shared" si="31"/>
        <v>730.81</v>
      </c>
      <c r="P99" s="27">
        <f t="shared" si="32"/>
        <v>104505.82999999999</v>
      </c>
      <c r="Q99" s="27">
        <f t="shared" si="33"/>
        <v>-11224.070000000007</v>
      </c>
      <c r="R99" s="19">
        <f t="shared" si="34"/>
        <v>-16440.012741206112</v>
      </c>
    </row>
    <row r="100" spans="1:18" ht="12.75">
      <c r="A100" s="3">
        <v>9</v>
      </c>
      <c r="B100" s="9">
        <f t="shared" si="5"/>
        <v>43344</v>
      </c>
      <c r="C100" s="126">
        <f t="shared" si="38"/>
        <v>43376</v>
      </c>
      <c r="D100" s="126">
        <f t="shared" si="38"/>
        <v>43391</v>
      </c>
      <c r="E100" s="20" t="s">
        <v>8</v>
      </c>
      <c r="F100" s="3">
        <v>9</v>
      </c>
      <c r="G100" s="196">
        <v>130</v>
      </c>
      <c r="H100" s="127">
        <f t="shared" si="28"/>
        <v>809.3</v>
      </c>
      <c r="I100" s="127">
        <f t="shared" si="23"/>
        <v>624.94</v>
      </c>
      <c r="J100" s="28">
        <f t="shared" si="3"/>
        <v>81242.20000000001</v>
      </c>
      <c r="K100" s="37">
        <f t="shared" si="36"/>
        <v>105209</v>
      </c>
      <c r="L100" s="39">
        <f t="shared" si="37"/>
        <v>-23966.79999999999</v>
      </c>
      <c r="M100" s="27">
        <f t="shared" si="29"/>
        <v>-1182.3661283692154</v>
      </c>
      <c r="N100" s="19">
        <f t="shared" si="30"/>
        <v>-25149.166128369205</v>
      </c>
      <c r="O100" s="27">
        <f t="shared" si="31"/>
        <v>730.81</v>
      </c>
      <c r="P100" s="27">
        <f t="shared" si="32"/>
        <v>95005.29999999999</v>
      </c>
      <c r="Q100" s="27">
        <f t="shared" si="33"/>
        <v>-10203.700000000012</v>
      </c>
      <c r="R100" s="19">
        <f t="shared" si="34"/>
        <v>-14945.466128369193</v>
      </c>
    </row>
    <row r="101" spans="1:18" ht="12.75">
      <c r="A101" s="10">
        <v>10</v>
      </c>
      <c r="B101" s="9">
        <f t="shared" si="5"/>
        <v>43374</v>
      </c>
      <c r="C101" s="126">
        <f t="shared" si="38"/>
        <v>43409</v>
      </c>
      <c r="D101" s="126">
        <f t="shared" si="38"/>
        <v>43424</v>
      </c>
      <c r="E101" s="20" t="s">
        <v>8</v>
      </c>
      <c r="F101" s="3">
        <v>9</v>
      </c>
      <c r="G101" s="196">
        <v>117</v>
      </c>
      <c r="H101" s="127">
        <f t="shared" si="28"/>
        <v>809.3</v>
      </c>
      <c r="I101" s="127">
        <f t="shared" si="23"/>
        <v>624.94</v>
      </c>
      <c r="J101" s="28">
        <f t="shared" si="3"/>
        <v>73117.98000000001</v>
      </c>
      <c r="K101" s="37">
        <f t="shared" si="36"/>
        <v>94688.09999999999</v>
      </c>
      <c r="L101" s="39">
        <f t="shared" si="37"/>
        <v>-21570.11999999998</v>
      </c>
      <c r="M101" s="27">
        <f t="shared" si="29"/>
        <v>-1064.1295155322937</v>
      </c>
      <c r="N101" s="19">
        <f t="shared" si="30"/>
        <v>-22634.249515532276</v>
      </c>
      <c r="O101" s="27">
        <f t="shared" si="31"/>
        <v>730.81</v>
      </c>
      <c r="P101" s="27">
        <f t="shared" si="32"/>
        <v>85504.76999999999</v>
      </c>
      <c r="Q101" s="27">
        <f t="shared" si="33"/>
        <v>-9183.330000000002</v>
      </c>
      <c r="R101" s="19">
        <f t="shared" si="34"/>
        <v>-13450.919515532274</v>
      </c>
    </row>
    <row r="102" spans="1:18" ht="12.75">
      <c r="A102" s="3">
        <v>11</v>
      </c>
      <c r="B102" s="9">
        <f t="shared" si="5"/>
        <v>43405</v>
      </c>
      <c r="C102" s="126">
        <f t="shared" si="38"/>
        <v>43439</v>
      </c>
      <c r="D102" s="126">
        <f t="shared" si="38"/>
        <v>43454</v>
      </c>
      <c r="E102" s="20" t="s">
        <v>8</v>
      </c>
      <c r="F102" s="3">
        <v>9</v>
      </c>
      <c r="G102" s="196">
        <v>74</v>
      </c>
      <c r="H102" s="127">
        <f t="shared" si="28"/>
        <v>809.3</v>
      </c>
      <c r="I102" s="127">
        <f t="shared" si="23"/>
        <v>624.94</v>
      </c>
      <c r="J102" s="28">
        <f t="shared" si="3"/>
        <v>46245.560000000005</v>
      </c>
      <c r="K102" s="37">
        <f t="shared" si="36"/>
        <v>59888.2</v>
      </c>
      <c r="L102" s="39">
        <f t="shared" si="37"/>
        <v>-13642.639999999992</v>
      </c>
      <c r="M102" s="27">
        <f t="shared" si="29"/>
        <v>-673.0391807640149</v>
      </c>
      <c r="N102" s="19">
        <f t="shared" si="30"/>
        <v>-14315.679180764007</v>
      </c>
      <c r="O102" s="27">
        <f t="shared" si="31"/>
        <v>730.81</v>
      </c>
      <c r="P102" s="27">
        <f t="shared" si="32"/>
        <v>54079.939999999995</v>
      </c>
      <c r="Q102" s="27">
        <f t="shared" si="33"/>
        <v>-5808.260000000002</v>
      </c>
      <c r="R102" s="19">
        <f t="shared" si="34"/>
        <v>-8507.419180764005</v>
      </c>
    </row>
    <row r="103" spans="1:18" s="34" customFormat="1" ht="12.75">
      <c r="A103" s="3">
        <v>12</v>
      </c>
      <c r="B103" s="44">
        <f t="shared" si="5"/>
        <v>43435</v>
      </c>
      <c r="C103" s="126">
        <f t="shared" si="38"/>
        <v>43468</v>
      </c>
      <c r="D103" s="126">
        <f t="shared" si="38"/>
        <v>43483</v>
      </c>
      <c r="E103" s="45" t="s">
        <v>8</v>
      </c>
      <c r="F103" s="42">
        <v>9</v>
      </c>
      <c r="G103" s="197">
        <v>76</v>
      </c>
      <c r="H103" s="127">
        <f t="shared" si="28"/>
        <v>809.3</v>
      </c>
      <c r="I103" s="128">
        <f t="shared" si="23"/>
        <v>624.94</v>
      </c>
      <c r="J103" s="46">
        <f t="shared" si="3"/>
        <v>47495.44</v>
      </c>
      <c r="K103" s="47">
        <f t="shared" si="36"/>
        <v>61506.799999999996</v>
      </c>
      <c r="L103" s="48">
        <f t="shared" si="37"/>
        <v>-14011.359999999993</v>
      </c>
      <c r="M103" s="27">
        <f t="shared" si="29"/>
        <v>-691.229428892772</v>
      </c>
      <c r="N103" s="19">
        <f t="shared" si="30"/>
        <v>-14702.589428892765</v>
      </c>
      <c r="O103" s="27">
        <f t="shared" si="31"/>
        <v>730.81</v>
      </c>
      <c r="P103" s="27">
        <f t="shared" si="32"/>
        <v>55541.56</v>
      </c>
      <c r="Q103" s="27">
        <f t="shared" si="33"/>
        <v>-5965.239999999998</v>
      </c>
      <c r="R103" s="19">
        <f t="shared" si="34"/>
        <v>-8737.349428892767</v>
      </c>
    </row>
    <row r="104" spans="1:18" ht="12.75">
      <c r="A104" s="10">
        <v>1</v>
      </c>
      <c r="B104" s="9">
        <f t="shared" si="5"/>
        <v>43101</v>
      </c>
      <c r="C104" s="125">
        <f t="shared" si="38"/>
        <v>43136</v>
      </c>
      <c r="D104" s="125">
        <f t="shared" si="38"/>
        <v>43151</v>
      </c>
      <c r="E104" s="60" t="s">
        <v>19</v>
      </c>
      <c r="F104" s="10">
        <v>9</v>
      </c>
      <c r="G104" s="196">
        <v>21</v>
      </c>
      <c r="H104" s="127">
        <f t="shared" si="28"/>
        <v>809.3</v>
      </c>
      <c r="I104" s="127">
        <f t="shared" si="23"/>
        <v>624.94</v>
      </c>
      <c r="J104" s="28">
        <f t="shared" si="3"/>
        <v>13123.740000000002</v>
      </c>
      <c r="K104" s="29">
        <f t="shared" si="36"/>
        <v>16995.3</v>
      </c>
      <c r="L104" s="30">
        <f t="shared" si="37"/>
        <v>-3871.5599999999977</v>
      </c>
      <c r="M104" s="27">
        <f t="shared" si="29"/>
        <v>-190.99760535195017</v>
      </c>
      <c r="N104" s="19">
        <f t="shared" si="30"/>
        <v>-4062.557605351948</v>
      </c>
      <c r="O104" s="27">
        <f t="shared" si="31"/>
        <v>730.81</v>
      </c>
      <c r="P104" s="27">
        <f t="shared" si="32"/>
        <v>15347.009999999998</v>
      </c>
      <c r="Q104" s="27">
        <f t="shared" si="33"/>
        <v>-1648.2900000000009</v>
      </c>
      <c r="R104" s="19">
        <f t="shared" si="34"/>
        <v>-2414.267605351947</v>
      </c>
    </row>
    <row r="105" spans="1:18" ht="12.75">
      <c r="A105" s="3">
        <v>2</v>
      </c>
      <c r="B105" s="9">
        <f t="shared" si="5"/>
        <v>43132</v>
      </c>
      <c r="C105" s="126">
        <f t="shared" si="38"/>
        <v>43164</v>
      </c>
      <c r="D105" s="126">
        <f t="shared" si="38"/>
        <v>43179</v>
      </c>
      <c r="E105" s="35" t="s">
        <v>19</v>
      </c>
      <c r="F105" s="3">
        <v>9</v>
      </c>
      <c r="G105" s="196">
        <v>12</v>
      </c>
      <c r="H105" s="127">
        <f t="shared" si="28"/>
        <v>809.3</v>
      </c>
      <c r="I105" s="127">
        <f t="shared" si="23"/>
        <v>624.94</v>
      </c>
      <c r="J105" s="28">
        <f t="shared" si="3"/>
        <v>7499.280000000001</v>
      </c>
      <c r="K105" s="29">
        <f t="shared" si="36"/>
        <v>9711.599999999999</v>
      </c>
      <c r="L105" s="30">
        <f t="shared" si="37"/>
        <v>-2212.319999999998</v>
      </c>
      <c r="M105" s="27">
        <f t="shared" si="29"/>
        <v>-109.14148877254296</v>
      </c>
      <c r="N105" s="19">
        <f t="shared" si="30"/>
        <v>-2321.4614887725406</v>
      </c>
      <c r="O105" s="27">
        <f t="shared" si="31"/>
        <v>730.81</v>
      </c>
      <c r="P105" s="27">
        <f t="shared" si="32"/>
        <v>8769.72</v>
      </c>
      <c r="Q105" s="27">
        <f t="shared" si="33"/>
        <v>-941.8799999999992</v>
      </c>
      <c r="R105" s="19">
        <f t="shared" si="34"/>
        <v>-1379.5814887725414</v>
      </c>
    </row>
    <row r="106" spans="1:18" ht="12.75">
      <c r="A106" s="3">
        <v>3</v>
      </c>
      <c r="B106" s="9">
        <f t="shared" si="5"/>
        <v>43160</v>
      </c>
      <c r="C106" s="126">
        <f t="shared" si="38"/>
        <v>43194</v>
      </c>
      <c r="D106" s="126">
        <f t="shared" si="38"/>
        <v>43209</v>
      </c>
      <c r="E106" s="35" t="s">
        <v>19</v>
      </c>
      <c r="F106" s="3">
        <v>9</v>
      </c>
      <c r="G106" s="196">
        <v>22</v>
      </c>
      <c r="H106" s="127">
        <f t="shared" si="28"/>
        <v>809.3</v>
      </c>
      <c r="I106" s="127">
        <f t="shared" si="23"/>
        <v>624.94</v>
      </c>
      <c r="J106" s="28">
        <f t="shared" si="3"/>
        <v>13748.68</v>
      </c>
      <c r="K106" s="29">
        <f t="shared" si="36"/>
        <v>17804.6</v>
      </c>
      <c r="L106" s="30">
        <f>+J106-K106</f>
        <v>-4055.9199999999983</v>
      </c>
      <c r="M106" s="27">
        <f t="shared" si="29"/>
        <v>-200.09272941632875</v>
      </c>
      <c r="N106" s="19">
        <f t="shared" si="30"/>
        <v>-4256.012729416327</v>
      </c>
      <c r="O106" s="27">
        <f t="shared" si="31"/>
        <v>730.81</v>
      </c>
      <c r="P106" s="27">
        <f t="shared" si="32"/>
        <v>16077.82</v>
      </c>
      <c r="Q106" s="27">
        <f t="shared" si="33"/>
        <v>-1726.7799999999988</v>
      </c>
      <c r="R106" s="19">
        <f t="shared" si="34"/>
        <v>-2529.232729416328</v>
      </c>
    </row>
    <row r="107" spans="1:18" ht="12.75">
      <c r="A107" s="10">
        <v>4</v>
      </c>
      <c r="B107" s="9">
        <f t="shared" si="5"/>
        <v>43191</v>
      </c>
      <c r="C107" s="126">
        <f t="shared" si="38"/>
        <v>43223</v>
      </c>
      <c r="D107" s="126">
        <f t="shared" si="38"/>
        <v>43238</v>
      </c>
      <c r="E107" s="20" t="s">
        <v>19</v>
      </c>
      <c r="F107" s="3">
        <v>9</v>
      </c>
      <c r="G107" s="196">
        <v>15</v>
      </c>
      <c r="H107" s="127">
        <f t="shared" si="28"/>
        <v>809.3</v>
      </c>
      <c r="I107" s="127">
        <f t="shared" si="23"/>
        <v>624.94</v>
      </c>
      <c r="J107" s="28">
        <f t="shared" si="3"/>
        <v>9374.1</v>
      </c>
      <c r="K107" s="29">
        <f t="shared" si="36"/>
        <v>12139.5</v>
      </c>
      <c r="L107" s="30">
        <f aca="true" t="shared" si="39" ref="L107:L115">+J107-K107</f>
        <v>-2765.3999999999996</v>
      </c>
      <c r="M107" s="27">
        <f t="shared" si="29"/>
        <v>-136.4268609656787</v>
      </c>
      <c r="N107" s="19">
        <f t="shared" si="30"/>
        <v>-2901.8268609656784</v>
      </c>
      <c r="O107" s="27">
        <f t="shared" si="31"/>
        <v>730.81</v>
      </c>
      <c r="P107" s="27">
        <f t="shared" si="32"/>
        <v>10962.15</v>
      </c>
      <c r="Q107" s="27">
        <f t="shared" si="33"/>
        <v>-1177.3500000000004</v>
      </c>
      <c r="R107" s="19">
        <f t="shared" si="34"/>
        <v>-1724.476860965678</v>
      </c>
    </row>
    <row r="108" spans="1:18" ht="12.75">
      <c r="A108" s="3">
        <v>5</v>
      </c>
      <c r="B108" s="9">
        <f t="shared" si="5"/>
        <v>43221</v>
      </c>
      <c r="C108" s="126">
        <f t="shared" si="38"/>
        <v>43256</v>
      </c>
      <c r="D108" s="126">
        <f t="shared" si="38"/>
        <v>43271</v>
      </c>
      <c r="E108" s="20" t="s">
        <v>19</v>
      </c>
      <c r="F108" s="3">
        <v>9</v>
      </c>
      <c r="G108" s="196">
        <v>23</v>
      </c>
      <c r="H108" s="127">
        <f t="shared" si="28"/>
        <v>809.3</v>
      </c>
      <c r="I108" s="127">
        <f aca="true" t="shared" si="40" ref="I108:I127">$J$3</f>
        <v>624.94</v>
      </c>
      <c r="J108" s="28">
        <f t="shared" si="3"/>
        <v>14373.62</v>
      </c>
      <c r="K108" s="29">
        <f t="shared" si="36"/>
        <v>18613.899999999998</v>
      </c>
      <c r="L108" s="30">
        <f t="shared" si="39"/>
        <v>-4240.279999999997</v>
      </c>
      <c r="M108" s="27">
        <f t="shared" si="29"/>
        <v>-209.18785348070733</v>
      </c>
      <c r="N108" s="19">
        <f t="shared" si="30"/>
        <v>-4449.467853480704</v>
      </c>
      <c r="O108" s="27">
        <f t="shared" si="31"/>
        <v>730.81</v>
      </c>
      <c r="P108" s="27">
        <f t="shared" si="32"/>
        <v>16808.629999999997</v>
      </c>
      <c r="Q108" s="27">
        <f t="shared" si="33"/>
        <v>-1805.2700000000004</v>
      </c>
      <c r="R108" s="19">
        <f t="shared" si="34"/>
        <v>-2644.197853480704</v>
      </c>
    </row>
    <row r="109" spans="1:18" ht="12.75">
      <c r="A109" s="3">
        <v>6</v>
      </c>
      <c r="B109" s="9">
        <f aca="true" t="shared" si="41" ref="B109:B148">DATE($R$1,A109,1)</f>
        <v>43252</v>
      </c>
      <c r="C109" s="126">
        <f t="shared" si="38"/>
        <v>43286</v>
      </c>
      <c r="D109" s="126">
        <f t="shared" si="38"/>
        <v>43301</v>
      </c>
      <c r="E109" s="20" t="s">
        <v>19</v>
      </c>
      <c r="F109" s="3">
        <v>9</v>
      </c>
      <c r="G109" s="196">
        <v>19</v>
      </c>
      <c r="H109" s="127">
        <f t="shared" si="28"/>
        <v>809.3</v>
      </c>
      <c r="I109" s="127">
        <f t="shared" si="40"/>
        <v>624.94</v>
      </c>
      <c r="J109" s="28">
        <f aca="true" t="shared" si="42" ref="J109:J148">+$G109*I109</f>
        <v>11873.86</v>
      </c>
      <c r="K109" s="29">
        <f t="shared" si="36"/>
        <v>15376.699999999999</v>
      </c>
      <c r="L109" s="39">
        <f t="shared" si="39"/>
        <v>-3502.8399999999983</v>
      </c>
      <c r="M109" s="27">
        <f t="shared" si="29"/>
        <v>-172.807357223193</v>
      </c>
      <c r="N109" s="19">
        <f t="shared" si="30"/>
        <v>-3675.647357223191</v>
      </c>
      <c r="O109" s="27">
        <f t="shared" si="31"/>
        <v>730.81</v>
      </c>
      <c r="P109" s="27">
        <f t="shared" si="32"/>
        <v>13885.39</v>
      </c>
      <c r="Q109" s="27">
        <f t="shared" si="33"/>
        <v>-1491.3099999999995</v>
      </c>
      <c r="R109" s="19">
        <f t="shared" si="34"/>
        <v>-2184.3373572231917</v>
      </c>
    </row>
    <row r="110" spans="1:18" ht="12.75">
      <c r="A110" s="10">
        <v>7</v>
      </c>
      <c r="B110" s="9">
        <f t="shared" si="41"/>
        <v>43282</v>
      </c>
      <c r="C110" s="126">
        <f t="shared" si="38"/>
        <v>43315</v>
      </c>
      <c r="D110" s="126">
        <f t="shared" si="38"/>
        <v>43330</v>
      </c>
      <c r="E110" s="20" t="s">
        <v>19</v>
      </c>
      <c r="F110" s="3">
        <v>9</v>
      </c>
      <c r="G110" s="196">
        <v>19</v>
      </c>
      <c r="H110" s="127">
        <f t="shared" si="28"/>
        <v>809.3</v>
      </c>
      <c r="I110" s="127">
        <f t="shared" si="40"/>
        <v>624.94</v>
      </c>
      <c r="J110" s="28">
        <f t="shared" si="42"/>
        <v>11873.86</v>
      </c>
      <c r="K110" s="37">
        <f t="shared" si="36"/>
        <v>15376.699999999999</v>
      </c>
      <c r="L110" s="39">
        <f t="shared" si="39"/>
        <v>-3502.8399999999983</v>
      </c>
      <c r="M110" s="27">
        <f t="shared" si="29"/>
        <v>-172.807357223193</v>
      </c>
      <c r="N110" s="19">
        <f t="shared" si="30"/>
        <v>-3675.647357223191</v>
      </c>
      <c r="O110" s="27">
        <f t="shared" si="31"/>
        <v>730.81</v>
      </c>
      <c r="P110" s="27">
        <f t="shared" si="32"/>
        <v>13885.39</v>
      </c>
      <c r="Q110" s="27">
        <f t="shared" si="33"/>
        <v>-1491.3099999999995</v>
      </c>
      <c r="R110" s="19">
        <f t="shared" si="34"/>
        <v>-2184.3373572231917</v>
      </c>
    </row>
    <row r="111" spans="1:18" ht="12.75">
      <c r="A111" s="3">
        <v>8</v>
      </c>
      <c r="B111" s="9">
        <f t="shared" si="41"/>
        <v>43313</v>
      </c>
      <c r="C111" s="126">
        <f t="shared" si="38"/>
        <v>43348</v>
      </c>
      <c r="D111" s="126">
        <f t="shared" si="38"/>
        <v>43363</v>
      </c>
      <c r="E111" s="20" t="s">
        <v>19</v>
      </c>
      <c r="F111" s="3">
        <v>9</v>
      </c>
      <c r="G111" s="196">
        <v>18</v>
      </c>
      <c r="H111" s="127">
        <f t="shared" si="28"/>
        <v>809.3</v>
      </c>
      <c r="I111" s="127">
        <f t="shared" si="40"/>
        <v>624.94</v>
      </c>
      <c r="J111" s="28">
        <f t="shared" si="42"/>
        <v>11248.920000000002</v>
      </c>
      <c r="K111" s="37">
        <f t="shared" si="36"/>
        <v>14567.4</v>
      </c>
      <c r="L111" s="39">
        <f t="shared" si="39"/>
        <v>-3318.4799999999977</v>
      </c>
      <c r="M111" s="27">
        <f t="shared" si="29"/>
        <v>-163.71223315881443</v>
      </c>
      <c r="N111" s="19">
        <f t="shared" si="30"/>
        <v>-3482.192233158812</v>
      </c>
      <c r="O111" s="27">
        <f t="shared" si="31"/>
        <v>730.81</v>
      </c>
      <c r="P111" s="27">
        <f t="shared" si="32"/>
        <v>13154.579999999998</v>
      </c>
      <c r="Q111" s="27">
        <f t="shared" si="33"/>
        <v>-1412.8200000000015</v>
      </c>
      <c r="R111" s="19">
        <f t="shared" si="34"/>
        <v>-2069.3722331588106</v>
      </c>
    </row>
    <row r="112" spans="1:18" ht="12.75">
      <c r="A112" s="3">
        <v>9</v>
      </c>
      <c r="B112" s="9">
        <f t="shared" si="41"/>
        <v>43344</v>
      </c>
      <c r="C112" s="126">
        <f t="shared" si="38"/>
        <v>43376</v>
      </c>
      <c r="D112" s="126">
        <f t="shared" si="38"/>
        <v>43391</v>
      </c>
      <c r="E112" s="20" t="s">
        <v>19</v>
      </c>
      <c r="F112" s="3">
        <v>9</v>
      </c>
      <c r="G112" s="196">
        <v>13</v>
      </c>
      <c r="H112" s="127">
        <f t="shared" si="28"/>
        <v>809.3</v>
      </c>
      <c r="I112" s="127">
        <f t="shared" si="40"/>
        <v>624.94</v>
      </c>
      <c r="J112" s="28">
        <f t="shared" si="42"/>
        <v>8124.220000000001</v>
      </c>
      <c r="K112" s="37">
        <f t="shared" si="36"/>
        <v>10520.9</v>
      </c>
      <c r="L112" s="39">
        <f t="shared" si="39"/>
        <v>-2396.6799999999985</v>
      </c>
      <c r="M112" s="27">
        <f t="shared" si="29"/>
        <v>-118.23661283692154</v>
      </c>
      <c r="N112" s="19">
        <f t="shared" si="30"/>
        <v>-2514.91661283692</v>
      </c>
      <c r="O112" s="27">
        <f t="shared" si="31"/>
        <v>730.81</v>
      </c>
      <c r="P112" s="27">
        <f t="shared" si="32"/>
        <v>9500.529999999999</v>
      </c>
      <c r="Q112" s="27">
        <f t="shared" si="33"/>
        <v>-1020.3700000000008</v>
      </c>
      <c r="R112" s="19">
        <f t="shared" si="34"/>
        <v>-1494.5466128369194</v>
      </c>
    </row>
    <row r="113" spans="1:18" ht="12.75">
      <c r="A113" s="10">
        <v>10</v>
      </c>
      <c r="B113" s="9">
        <f t="shared" si="41"/>
        <v>43374</v>
      </c>
      <c r="C113" s="126">
        <f t="shared" si="38"/>
        <v>43409</v>
      </c>
      <c r="D113" s="126">
        <f t="shared" si="38"/>
        <v>43424</v>
      </c>
      <c r="E113" s="20" t="s">
        <v>19</v>
      </c>
      <c r="F113" s="3">
        <v>9</v>
      </c>
      <c r="G113" s="196">
        <v>15</v>
      </c>
      <c r="H113" s="127">
        <f t="shared" si="28"/>
        <v>809.3</v>
      </c>
      <c r="I113" s="127">
        <f t="shared" si="40"/>
        <v>624.94</v>
      </c>
      <c r="J113" s="28">
        <f t="shared" si="42"/>
        <v>9374.1</v>
      </c>
      <c r="K113" s="37">
        <f t="shared" si="36"/>
        <v>12139.5</v>
      </c>
      <c r="L113" s="39">
        <f t="shared" si="39"/>
        <v>-2765.3999999999996</v>
      </c>
      <c r="M113" s="27">
        <f t="shared" si="29"/>
        <v>-136.4268609656787</v>
      </c>
      <c r="N113" s="19">
        <f t="shared" si="30"/>
        <v>-2901.8268609656784</v>
      </c>
      <c r="O113" s="27">
        <f t="shared" si="31"/>
        <v>730.81</v>
      </c>
      <c r="P113" s="27">
        <f t="shared" si="32"/>
        <v>10962.15</v>
      </c>
      <c r="Q113" s="27">
        <f t="shared" si="33"/>
        <v>-1177.3500000000004</v>
      </c>
      <c r="R113" s="19">
        <f t="shared" si="34"/>
        <v>-1724.476860965678</v>
      </c>
    </row>
    <row r="114" spans="1:18" ht="12.75">
      <c r="A114" s="3">
        <v>11</v>
      </c>
      <c r="B114" s="9">
        <f t="shared" si="41"/>
        <v>43405</v>
      </c>
      <c r="C114" s="126">
        <f t="shared" si="38"/>
        <v>43439</v>
      </c>
      <c r="D114" s="126">
        <f t="shared" si="38"/>
        <v>43454</v>
      </c>
      <c r="E114" s="20" t="s">
        <v>19</v>
      </c>
      <c r="F114" s="3">
        <v>9</v>
      </c>
      <c r="G114" s="196">
        <v>22</v>
      </c>
      <c r="H114" s="127">
        <f t="shared" si="28"/>
        <v>809.3</v>
      </c>
      <c r="I114" s="127">
        <f t="shared" si="40"/>
        <v>624.94</v>
      </c>
      <c r="J114" s="28">
        <f t="shared" si="42"/>
        <v>13748.68</v>
      </c>
      <c r="K114" s="37">
        <f t="shared" si="36"/>
        <v>17804.6</v>
      </c>
      <c r="L114" s="39">
        <f t="shared" si="39"/>
        <v>-4055.9199999999983</v>
      </c>
      <c r="M114" s="27">
        <f t="shared" si="29"/>
        <v>-200.09272941632875</v>
      </c>
      <c r="N114" s="19">
        <f t="shared" si="30"/>
        <v>-4256.012729416327</v>
      </c>
      <c r="O114" s="27">
        <f t="shared" si="31"/>
        <v>730.81</v>
      </c>
      <c r="P114" s="27">
        <f t="shared" si="32"/>
        <v>16077.82</v>
      </c>
      <c r="Q114" s="27">
        <f t="shared" si="33"/>
        <v>-1726.7799999999988</v>
      </c>
      <c r="R114" s="19">
        <f t="shared" si="34"/>
        <v>-2529.232729416328</v>
      </c>
    </row>
    <row r="115" spans="1:18" s="34" customFormat="1" ht="12.75">
      <c r="A115" s="3">
        <v>12</v>
      </c>
      <c r="B115" s="44">
        <f t="shared" si="41"/>
        <v>43435</v>
      </c>
      <c r="C115" s="137">
        <f t="shared" si="38"/>
        <v>43468</v>
      </c>
      <c r="D115" s="137">
        <f t="shared" si="38"/>
        <v>43483</v>
      </c>
      <c r="E115" s="45" t="s">
        <v>19</v>
      </c>
      <c r="F115" s="42">
        <v>9</v>
      </c>
      <c r="G115" s="197">
        <v>20</v>
      </c>
      <c r="H115" s="127">
        <f t="shared" si="28"/>
        <v>809.3</v>
      </c>
      <c r="I115" s="128">
        <f t="shared" si="40"/>
        <v>624.94</v>
      </c>
      <c r="J115" s="46">
        <f t="shared" si="42"/>
        <v>12498.800000000001</v>
      </c>
      <c r="K115" s="47">
        <f t="shared" si="36"/>
        <v>16186</v>
      </c>
      <c r="L115" s="48">
        <f t="shared" si="39"/>
        <v>-3687.199999999999</v>
      </c>
      <c r="M115" s="27">
        <f t="shared" si="29"/>
        <v>-181.9024812875716</v>
      </c>
      <c r="N115" s="19">
        <f t="shared" si="30"/>
        <v>-3869.1024812875703</v>
      </c>
      <c r="O115" s="27">
        <f t="shared" si="31"/>
        <v>730.81</v>
      </c>
      <c r="P115" s="27">
        <f t="shared" si="32"/>
        <v>14616.199999999999</v>
      </c>
      <c r="Q115" s="27">
        <f t="shared" si="33"/>
        <v>-1569.800000000001</v>
      </c>
      <c r="R115" s="19">
        <f t="shared" si="34"/>
        <v>-2299.302481287569</v>
      </c>
    </row>
    <row r="116" spans="1:18" ht="12.75">
      <c r="A116" s="10">
        <v>1</v>
      </c>
      <c r="B116" s="9">
        <f t="shared" si="41"/>
        <v>43101</v>
      </c>
      <c r="C116" s="126">
        <f t="shared" si="38"/>
        <v>43136</v>
      </c>
      <c r="D116" s="126">
        <f t="shared" si="38"/>
        <v>43151</v>
      </c>
      <c r="E116" s="60" t="s">
        <v>13</v>
      </c>
      <c r="F116" s="10">
        <v>9</v>
      </c>
      <c r="G116" s="196">
        <v>1275</v>
      </c>
      <c r="H116" s="127">
        <f t="shared" si="28"/>
        <v>809.3</v>
      </c>
      <c r="I116" s="127">
        <f t="shared" si="40"/>
        <v>624.94</v>
      </c>
      <c r="J116" s="28">
        <f t="shared" si="42"/>
        <v>796798.5000000001</v>
      </c>
      <c r="K116" s="29">
        <f t="shared" si="36"/>
        <v>1031857.5</v>
      </c>
      <c r="L116" s="30">
        <f>+J116-K116</f>
        <v>-235058.99999999988</v>
      </c>
      <c r="M116" s="27">
        <f t="shared" si="29"/>
        <v>-11596.283182082689</v>
      </c>
      <c r="N116" s="19">
        <f t="shared" si="30"/>
        <v>-246655.28318208258</v>
      </c>
      <c r="O116" s="27">
        <f t="shared" si="31"/>
        <v>730.81</v>
      </c>
      <c r="P116" s="27">
        <f t="shared" si="32"/>
        <v>931782.7499999999</v>
      </c>
      <c r="Q116" s="27">
        <f t="shared" si="33"/>
        <v>-100074.75000000012</v>
      </c>
      <c r="R116" s="19">
        <f t="shared" si="34"/>
        <v>-146580.53318208246</v>
      </c>
    </row>
    <row r="117" spans="1:18" ht="12.75">
      <c r="A117" s="3">
        <v>2</v>
      </c>
      <c r="B117" s="9">
        <f t="shared" si="41"/>
        <v>43132</v>
      </c>
      <c r="C117" s="126">
        <f aca="true" t="shared" si="43" ref="C117:D139">+C105</f>
        <v>43164</v>
      </c>
      <c r="D117" s="126">
        <f t="shared" si="43"/>
        <v>43179</v>
      </c>
      <c r="E117" s="35" t="s">
        <v>13</v>
      </c>
      <c r="F117" s="3">
        <v>9</v>
      </c>
      <c r="G117" s="196">
        <v>863</v>
      </c>
      <c r="H117" s="127">
        <f t="shared" si="28"/>
        <v>809.3</v>
      </c>
      <c r="I117" s="127">
        <f t="shared" si="40"/>
        <v>624.94</v>
      </c>
      <c r="J117" s="28">
        <f t="shared" si="42"/>
        <v>539323.2200000001</v>
      </c>
      <c r="K117" s="29">
        <f t="shared" si="36"/>
        <v>698425.8999999999</v>
      </c>
      <c r="L117" s="30">
        <f>+J117-K117</f>
        <v>-159102.67999999982</v>
      </c>
      <c r="M117" s="27">
        <f t="shared" si="29"/>
        <v>-7849.092067558715</v>
      </c>
      <c r="N117" s="19">
        <f t="shared" si="30"/>
        <v>-166951.77206755854</v>
      </c>
      <c r="O117" s="27">
        <f t="shared" si="31"/>
        <v>730.81</v>
      </c>
      <c r="P117" s="27">
        <f t="shared" si="32"/>
        <v>630689.0299999999</v>
      </c>
      <c r="Q117" s="27">
        <f t="shared" si="33"/>
        <v>-67736.87</v>
      </c>
      <c r="R117" s="19">
        <f t="shared" si="34"/>
        <v>-99214.90206755855</v>
      </c>
    </row>
    <row r="118" spans="1:18" ht="12.75">
      <c r="A118" s="3">
        <v>3</v>
      </c>
      <c r="B118" s="9">
        <f t="shared" si="41"/>
        <v>43160</v>
      </c>
      <c r="C118" s="126">
        <f t="shared" si="43"/>
        <v>43194</v>
      </c>
      <c r="D118" s="126">
        <f t="shared" si="43"/>
        <v>43209</v>
      </c>
      <c r="E118" s="35" t="s">
        <v>13</v>
      </c>
      <c r="F118" s="3">
        <v>9</v>
      </c>
      <c r="G118" s="196">
        <v>709</v>
      </c>
      <c r="H118" s="127">
        <f t="shared" si="28"/>
        <v>809.3</v>
      </c>
      <c r="I118" s="127">
        <f t="shared" si="40"/>
        <v>624.94</v>
      </c>
      <c r="J118" s="28">
        <f t="shared" si="42"/>
        <v>443082.46</v>
      </c>
      <c r="K118" s="29">
        <f t="shared" si="36"/>
        <v>573793.7</v>
      </c>
      <c r="L118" s="30">
        <f>+J118-K118</f>
        <v>-130711.23999999993</v>
      </c>
      <c r="M118" s="27">
        <f t="shared" si="29"/>
        <v>-6448.442961644413</v>
      </c>
      <c r="N118" s="19">
        <f t="shared" si="30"/>
        <v>-137159.68296164434</v>
      </c>
      <c r="O118" s="27">
        <f t="shared" si="31"/>
        <v>730.81</v>
      </c>
      <c r="P118" s="27">
        <f t="shared" si="32"/>
        <v>518144.29</v>
      </c>
      <c r="Q118" s="27">
        <f t="shared" si="33"/>
        <v>-55649.409999999974</v>
      </c>
      <c r="R118" s="19">
        <f t="shared" si="34"/>
        <v>-81510.27296164437</v>
      </c>
    </row>
    <row r="119" spans="1:18" ht="12.75">
      <c r="A119" s="10">
        <v>4</v>
      </c>
      <c r="B119" s="9">
        <f t="shared" si="41"/>
        <v>43191</v>
      </c>
      <c r="C119" s="126">
        <f t="shared" si="43"/>
        <v>43223</v>
      </c>
      <c r="D119" s="126">
        <f t="shared" si="43"/>
        <v>43238</v>
      </c>
      <c r="E119" s="20" t="s">
        <v>13</v>
      </c>
      <c r="F119" s="3">
        <v>9</v>
      </c>
      <c r="G119" s="196">
        <v>497</v>
      </c>
      <c r="H119" s="127">
        <f t="shared" si="28"/>
        <v>809.3</v>
      </c>
      <c r="I119" s="127">
        <f t="shared" si="40"/>
        <v>624.94</v>
      </c>
      <c r="J119" s="28">
        <f t="shared" si="42"/>
        <v>310595.18000000005</v>
      </c>
      <c r="K119" s="29">
        <f t="shared" si="36"/>
        <v>402222.1</v>
      </c>
      <c r="L119" s="30">
        <f aca="true" t="shared" si="44" ref="L119:L127">+J119-K119</f>
        <v>-91626.91999999993</v>
      </c>
      <c r="M119" s="27">
        <f t="shared" si="29"/>
        <v>-4520.276659996154</v>
      </c>
      <c r="N119" s="19">
        <f t="shared" si="30"/>
        <v>-96147.19665999609</v>
      </c>
      <c r="O119" s="27">
        <f t="shared" si="31"/>
        <v>730.81</v>
      </c>
      <c r="P119" s="27">
        <f t="shared" si="32"/>
        <v>363212.56999999995</v>
      </c>
      <c r="Q119" s="27">
        <f t="shared" si="33"/>
        <v>-39009.53000000003</v>
      </c>
      <c r="R119" s="19">
        <f t="shared" si="34"/>
        <v>-57137.66665999606</v>
      </c>
    </row>
    <row r="120" spans="1:18" ht="12.75">
      <c r="A120" s="3">
        <v>5</v>
      </c>
      <c r="B120" s="9">
        <f t="shared" si="41"/>
        <v>43221</v>
      </c>
      <c r="C120" s="126">
        <f t="shared" si="43"/>
        <v>43256</v>
      </c>
      <c r="D120" s="126">
        <f t="shared" si="43"/>
        <v>43271</v>
      </c>
      <c r="E120" s="20" t="s">
        <v>13</v>
      </c>
      <c r="F120" s="3">
        <v>9</v>
      </c>
      <c r="G120" s="196">
        <v>797</v>
      </c>
      <c r="H120" s="127">
        <f t="shared" si="28"/>
        <v>809.3</v>
      </c>
      <c r="I120" s="127">
        <f t="shared" si="40"/>
        <v>624.94</v>
      </c>
      <c r="J120" s="28">
        <f t="shared" si="42"/>
        <v>498077.18000000005</v>
      </c>
      <c r="K120" s="29">
        <f t="shared" si="36"/>
        <v>645012.1</v>
      </c>
      <c r="L120" s="30">
        <f t="shared" si="44"/>
        <v>-146934.91999999993</v>
      </c>
      <c r="M120" s="27">
        <f t="shared" si="29"/>
        <v>-7248.813879309728</v>
      </c>
      <c r="N120" s="19">
        <f t="shared" si="30"/>
        <v>-154183.73387930964</v>
      </c>
      <c r="O120" s="27">
        <f t="shared" si="31"/>
        <v>730.81</v>
      </c>
      <c r="P120" s="27">
        <f t="shared" si="32"/>
        <v>582455.57</v>
      </c>
      <c r="Q120" s="27">
        <f t="shared" si="33"/>
        <v>-62556.53000000003</v>
      </c>
      <c r="R120" s="19">
        <f t="shared" si="34"/>
        <v>-91627.20387930961</v>
      </c>
    </row>
    <row r="121" spans="1:18" ht="12.75">
      <c r="A121" s="3">
        <v>6</v>
      </c>
      <c r="B121" s="9">
        <f t="shared" si="41"/>
        <v>43252</v>
      </c>
      <c r="C121" s="126">
        <f t="shared" si="43"/>
        <v>43286</v>
      </c>
      <c r="D121" s="126">
        <f t="shared" si="43"/>
        <v>43301</v>
      </c>
      <c r="E121" s="20" t="s">
        <v>13</v>
      </c>
      <c r="F121" s="3">
        <v>9</v>
      </c>
      <c r="G121" s="196">
        <v>865</v>
      </c>
      <c r="H121" s="127">
        <f t="shared" si="28"/>
        <v>809.3</v>
      </c>
      <c r="I121" s="127">
        <f t="shared" si="40"/>
        <v>624.94</v>
      </c>
      <c r="J121" s="28">
        <f t="shared" si="42"/>
        <v>540573.1000000001</v>
      </c>
      <c r="K121" s="29">
        <f t="shared" si="36"/>
        <v>700044.5</v>
      </c>
      <c r="L121" s="39">
        <f t="shared" si="44"/>
        <v>-159471.3999999999</v>
      </c>
      <c r="M121" s="27">
        <f t="shared" si="29"/>
        <v>-7867.282315687472</v>
      </c>
      <c r="N121" s="19">
        <f t="shared" si="30"/>
        <v>-167338.6823156874</v>
      </c>
      <c r="O121" s="27">
        <f t="shared" si="31"/>
        <v>730.81</v>
      </c>
      <c r="P121" s="27">
        <f t="shared" si="32"/>
        <v>632150.6499999999</v>
      </c>
      <c r="Q121" s="27">
        <f t="shared" si="33"/>
        <v>-67893.8500000001</v>
      </c>
      <c r="R121" s="19">
        <f t="shared" si="34"/>
        <v>-99444.8323156873</v>
      </c>
    </row>
    <row r="122" spans="1:18" ht="12.75">
      <c r="A122" s="10">
        <v>7</v>
      </c>
      <c r="B122" s="9">
        <f t="shared" si="41"/>
        <v>43282</v>
      </c>
      <c r="C122" s="126">
        <f t="shared" si="43"/>
        <v>43315</v>
      </c>
      <c r="D122" s="126">
        <f t="shared" si="43"/>
        <v>43330</v>
      </c>
      <c r="E122" s="20" t="s">
        <v>13</v>
      </c>
      <c r="F122" s="3">
        <v>9</v>
      </c>
      <c r="G122" s="196">
        <v>928</v>
      </c>
      <c r="H122" s="127">
        <f t="shared" si="28"/>
        <v>809.3</v>
      </c>
      <c r="I122" s="127">
        <f t="shared" si="40"/>
        <v>624.94</v>
      </c>
      <c r="J122" s="28">
        <f t="shared" si="42"/>
        <v>579944.3200000001</v>
      </c>
      <c r="K122" s="37">
        <f t="shared" si="36"/>
        <v>751030.3999999999</v>
      </c>
      <c r="L122" s="39">
        <f t="shared" si="44"/>
        <v>-171086.07999999984</v>
      </c>
      <c r="M122" s="27">
        <f t="shared" si="29"/>
        <v>-8440.275131743323</v>
      </c>
      <c r="N122" s="19">
        <f t="shared" si="30"/>
        <v>-179526.35513174316</v>
      </c>
      <c r="O122" s="27">
        <f t="shared" si="31"/>
        <v>730.81</v>
      </c>
      <c r="P122" s="27">
        <f t="shared" si="32"/>
        <v>678191.6799999999</v>
      </c>
      <c r="Q122" s="27">
        <f t="shared" si="33"/>
        <v>-72838.71999999997</v>
      </c>
      <c r="R122" s="19">
        <f t="shared" si="34"/>
        <v>-106687.63513174318</v>
      </c>
    </row>
    <row r="123" spans="1:18" ht="12.75">
      <c r="A123" s="3">
        <v>8</v>
      </c>
      <c r="B123" s="9">
        <f t="shared" si="41"/>
        <v>43313</v>
      </c>
      <c r="C123" s="126">
        <f t="shared" si="43"/>
        <v>43348</v>
      </c>
      <c r="D123" s="126">
        <f t="shared" si="43"/>
        <v>43363</v>
      </c>
      <c r="E123" s="20" t="s">
        <v>13</v>
      </c>
      <c r="F123" s="3">
        <v>9</v>
      </c>
      <c r="G123" s="196">
        <v>837</v>
      </c>
      <c r="H123" s="127">
        <f t="shared" si="28"/>
        <v>809.3</v>
      </c>
      <c r="I123" s="127">
        <f t="shared" si="40"/>
        <v>624.94</v>
      </c>
      <c r="J123" s="28">
        <f t="shared" si="42"/>
        <v>523074.78</v>
      </c>
      <c r="K123" s="37">
        <f t="shared" si="36"/>
        <v>677384.1</v>
      </c>
      <c r="L123" s="39">
        <f t="shared" si="44"/>
        <v>-154309.31999999995</v>
      </c>
      <c r="M123" s="27">
        <f t="shared" si="29"/>
        <v>-7612.6188418848715</v>
      </c>
      <c r="N123" s="19">
        <f t="shared" si="30"/>
        <v>-161921.9388418848</v>
      </c>
      <c r="O123" s="27">
        <f t="shared" si="31"/>
        <v>730.81</v>
      </c>
      <c r="P123" s="27">
        <f t="shared" si="32"/>
        <v>611687.97</v>
      </c>
      <c r="Q123" s="27">
        <f t="shared" si="33"/>
        <v>-65696.13</v>
      </c>
      <c r="R123" s="19">
        <f t="shared" si="34"/>
        <v>-96225.8088418848</v>
      </c>
    </row>
    <row r="124" spans="1:18" ht="12.75">
      <c r="A124" s="3">
        <v>9</v>
      </c>
      <c r="B124" s="9">
        <f t="shared" si="41"/>
        <v>43344</v>
      </c>
      <c r="C124" s="126">
        <f t="shared" si="43"/>
        <v>43376</v>
      </c>
      <c r="D124" s="126">
        <f t="shared" si="43"/>
        <v>43391</v>
      </c>
      <c r="E124" s="20" t="s">
        <v>13</v>
      </c>
      <c r="F124" s="3">
        <v>9</v>
      </c>
      <c r="G124" s="196">
        <v>801</v>
      </c>
      <c r="H124" s="127">
        <f t="shared" si="28"/>
        <v>809.3</v>
      </c>
      <c r="I124" s="127">
        <f t="shared" si="40"/>
        <v>624.94</v>
      </c>
      <c r="J124" s="28">
        <f t="shared" si="42"/>
        <v>500576.94000000006</v>
      </c>
      <c r="K124" s="37">
        <f t="shared" si="36"/>
        <v>648249.2999999999</v>
      </c>
      <c r="L124" s="39">
        <f t="shared" si="44"/>
        <v>-147672.35999999987</v>
      </c>
      <c r="M124" s="27">
        <f t="shared" si="29"/>
        <v>-7285.194375567243</v>
      </c>
      <c r="N124" s="19">
        <f t="shared" si="30"/>
        <v>-154957.55437556712</v>
      </c>
      <c r="O124" s="27">
        <f t="shared" si="31"/>
        <v>730.81</v>
      </c>
      <c r="P124" s="27">
        <f t="shared" si="32"/>
        <v>585378.8099999999</v>
      </c>
      <c r="Q124" s="27">
        <f t="shared" si="33"/>
        <v>-62870.48999999999</v>
      </c>
      <c r="R124" s="19">
        <f t="shared" si="34"/>
        <v>-92087.06437556713</v>
      </c>
    </row>
    <row r="125" spans="1:18" ht="12.75">
      <c r="A125" s="10">
        <v>10</v>
      </c>
      <c r="B125" s="9">
        <f t="shared" si="41"/>
        <v>43374</v>
      </c>
      <c r="C125" s="126">
        <f t="shared" si="43"/>
        <v>43409</v>
      </c>
      <c r="D125" s="126">
        <f t="shared" si="43"/>
        <v>43424</v>
      </c>
      <c r="E125" s="20" t="s">
        <v>13</v>
      </c>
      <c r="F125" s="3">
        <v>9</v>
      </c>
      <c r="G125" s="196">
        <v>671</v>
      </c>
      <c r="H125" s="127">
        <f t="shared" si="28"/>
        <v>809.3</v>
      </c>
      <c r="I125" s="127">
        <f t="shared" si="40"/>
        <v>624.94</v>
      </c>
      <c r="J125" s="28">
        <f t="shared" si="42"/>
        <v>419334.74000000005</v>
      </c>
      <c r="K125" s="37">
        <f t="shared" si="36"/>
        <v>543040.2999999999</v>
      </c>
      <c r="L125" s="39">
        <f t="shared" si="44"/>
        <v>-123705.55999999988</v>
      </c>
      <c r="M125" s="27">
        <f t="shared" si="29"/>
        <v>-6102.828247198027</v>
      </c>
      <c r="N125" s="19">
        <f t="shared" si="30"/>
        <v>-129808.3882471979</v>
      </c>
      <c r="O125" s="27">
        <f t="shared" si="31"/>
        <v>730.81</v>
      </c>
      <c r="P125" s="27">
        <f t="shared" si="32"/>
        <v>490373.50999999995</v>
      </c>
      <c r="Q125" s="27">
        <f t="shared" si="33"/>
        <v>-52666.78999999998</v>
      </c>
      <c r="R125" s="19">
        <f t="shared" si="34"/>
        <v>-77141.59824719792</v>
      </c>
    </row>
    <row r="126" spans="1:18" ht="12.75">
      <c r="A126" s="3">
        <v>11</v>
      </c>
      <c r="B126" s="9">
        <f t="shared" si="41"/>
        <v>43405</v>
      </c>
      <c r="C126" s="126">
        <f t="shared" si="43"/>
        <v>43439</v>
      </c>
      <c r="D126" s="126">
        <f t="shared" si="43"/>
        <v>43454</v>
      </c>
      <c r="E126" s="20" t="s">
        <v>13</v>
      </c>
      <c r="F126" s="3">
        <v>9</v>
      </c>
      <c r="G126" s="196">
        <v>897</v>
      </c>
      <c r="H126" s="127">
        <f t="shared" si="28"/>
        <v>809.3</v>
      </c>
      <c r="I126" s="127">
        <f t="shared" si="40"/>
        <v>624.94</v>
      </c>
      <c r="J126" s="28">
        <f t="shared" si="42"/>
        <v>560571.18</v>
      </c>
      <c r="K126" s="37">
        <f t="shared" si="36"/>
        <v>725942.1</v>
      </c>
      <c r="L126" s="39">
        <f t="shared" si="44"/>
        <v>-165370.91999999993</v>
      </c>
      <c r="M126" s="27">
        <f t="shared" si="29"/>
        <v>-8158.326285747587</v>
      </c>
      <c r="N126" s="19">
        <f t="shared" si="30"/>
        <v>-173529.2462857475</v>
      </c>
      <c r="O126" s="27">
        <f t="shared" si="31"/>
        <v>730.81</v>
      </c>
      <c r="P126" s="27">
        <f t="shared" si="32"/>
        <v>655536.57</v>
      </c>
      <c r="Q126" s="27">
        <f t="shared" si="33"/>
        <v>-70405.53000000003</v>
      </c>
      <c r="R126" s="19">
        <f t="shared" si="34"/>
        <v>-103123.71628574748</v>
      </c>
    </row>
    <row r="127" spans="1:18" s="34" customFormat="1" ht="12.75">
      <c r="A127" s="3">
        <v>12</v>
      </c>
      <c r="B127" s="44">
        <f t="shared" si="41"/>
        <v>43435</v>
      </c>
      <c r="C127" s="137">
        <f t="shared" si="43"/>
        <v>43468</v>
      </c>
      <c r="D127" s="137">
        <f t="shared" si="43"/>
        <v>43483</v>
      </c>
      <c r="E127" s="45" t="s">
        <v>13</v>
      </c>
      <c r="F127" s="42">
        <v>9</v>
      </c>
      <c r="G127" s="197">
        <v>879</v>
      </c>
      <c r="H127" s="127">
        <f t="shared" si="28"/>
        <v>809.3</v>
      </c>
      <c r="I127" s="128">
        <f t="shared" si="40"/>
        <v>624.94</v>
      </c>
      <c r="J127" s="46">
        <f t="shared" si="42"/>
        <v>549322.26</v>
      </c>
      <c r="K127" s="47">
        <f t="shared" si="36"/>
        <v>711374.7</v>
      </c>
      <c r="L127" s="48">
        <f t="shared" si="44"/>
        <v>-162052.43999999994</v>
      </c>
      <c r="M127" s="27">
        <f t="shared" si="29"/>
        <v>-7994.614052588772</v>
      </c>
      <c r="N127" s="19">
        <f t="shared" si="30"/>
        <v>-170047.0540525887</v>
      </c>
      <c r="O127" s="27">
        <f t="shared" si="31"/>
        <v>730.81</v>
      </c>
      <c r="P127" s="27">
        <f t="shared" si="32"/>
        <v>642381.99</v>
      </c>
      <c r="Q127" s="27">
        <f t="shared" si="33"/>
        <v>-68992.70999999996</v>
      </c>
      <c r="R127" s="19">
        <f t="shared" si="34"/>
        <v>-101054.34405258874</v>
      </c>
    </row>
    <row r="128" spans="1:18" ht="12.75">
      <c r="A128" s="10">
        <v>1</v>
      </c>
      <c r="B128" s="9">
        <f t="shared" si="41"/>
        <v>43101</v>
      </c>
      <c r="C128" s="126">
        <f t="shared" si="43"/>
        <v>43136</v>
      </c>
      <c r="D128" s="126">
        <f t="shared" si="43"/>
        <v>43151</v>
      </c>
      <c r="E128" s="60" t="s">
        <v>15</v>
      </c>
      <c r="F128" s="10">
        <v>9</v>
      </c>
      <c r="G128" s="196">
        <v>9</v>
      </c>
      <c r="H128" s="127">
        <f t="shared" si="28"/>
        <v>809.3</v>
      </c>
      <c r="I128" s="127">
        <f aca="true" t="shared" si="45" ref="I128:I147">$J$3</f>
        <v>624.94</v>
      </c>
      <c r="J128" s="28">
        <f t="shared" si="42"/>
        <v>5624.460000000001</v>
      </c>
      <c r="K128" s="29">
        <f t="shared" si="36"/>
        <v>7283.7</v>
      </c>
      <c r="L128" s="30">
        <f>+J128-K128</f>
        <v>-1659.2399999999989</v>
      </c>
      <c r="M128" s="27">
        <f t="shared" si="29"/>
        <v>-81.85611657940721</v>
      </c>
      <c r="N128" s="19">
        <f t="shared" si="30"/>
        <v>-1741.096116579406</v>
      </c>
      <c r="O128" s="27">
        <f t="shared" si="31"/>
        <v>730.81</v>
      </c>
      <c r="P128" s="27">
        <f t="shared" si="32"/>
        <v>6577.289999999999</v>
      </c>
      <c r="Q128" s="27">
        <f t="shared" si="33"/>
        <v>-706.4100000000008</v>
      </c>
      <c r="R128" s="19">
        <f t="shared" si="34"/>
        <v>-1034.6861165794053</v>
      </c>
    </row>
    <row r="129" spans="1:18" ht="12.75">
      <c r="A129" s="3">
        <v>2</v>
      </c>
      <c r="B129" s="9">
        <f t="shared" si="41"/>
        <v>43132</v>
      </c>
      <c r="C129" s="126">
        <f t="shared" si="43"/>
        <v>43164</v>
      </c>
      <c r="D129" s="126">
        <f t="shared" si="43"/>
        <v>43179</v>
      </c>
      <c r="E129" s="35" t="s">
        <v>15</v>
      </c>
      <c r="F129" s="3">
        <v>9</v>
      </c>
      <c r="G129" s="196">
        <v>7</v>
      </c>
      <c r="H129" s="127">
        <f t="shared" si="28"/>
        <v>809.3</v>
      </c>
      <c r="I129" s="127">
        <f t="shared" si="45"/>
        <v>624.94</v>
      </c>
      <c r="J129" s="28">
        <f t="shared" si="42"/>
        <v>4374.58</v>
      </c>
      <c r="K129" s="29">
        <f t="shared" si="36"/>
        <v>5665.099999999999</v>
      </c>
      <c r="L129" s="30">
        <f>+J129-K129</f>
        <v>-1290.5199999999995</v>
      </c>
      <c r="M129" s="27">
        <f t="shared" si="29"/>
        <v>-63.66586845065006</v>
      </c>
      <c r="N129" s="19">
        <f t="shared" si="30"/>
        <v>-1354.1858684506497</v>
      </c>
      <c r="O129" s="27">
        <f t="shared" si="31"/>
        <v>730.81</v>
      </c>
      <c r="P129" s="27">
        <f t="shared" si="32"/>
        <v>5115.67</v>
      </c>
      <c r="Q129" s="27">
        <f t="shared" si="33"/>
        <v>-549.4299999999994</v>
      </c>
      <c r="R129" s="19">
        <f t="shared" si="34"/>
        <v>-804.7558684506503</v>
      </c>
    </row>
    <row r="130" spans="1:18" ht="12.75">
      <c r="A130" s="3">
        <v>3</v>
      </c>
      <c r="B130" s="9">
        <f t="shared" si="41"/>
        <v>43160</v>
      </c>
      <c r="C130" s="126">
        <f t="shared" si="43"/>
        <v>43194</v>
      </c>
      <c r="D130" s="126">
        <f t="shared" si="43"/>
        <v>43209</v>
      </c>
      <c r="E130" s="35" t="s">
        <v>15</v>
      </c>
      <c r="F130" s="3">
        <v>9</v>
      </c>
      <c r="G130" s="196">
        <v>6</v>
      </c>
      <c r="H130" s="127">
        <f t="shared" si="28"/>
        <v>809.3</v>
      </c>
      <c r="I130" s="127">
        <f t="shared" si="45"/>
        <v>624.94</v>
      </c>
      <c r="J130" s="28">
        <f t="shared" si="42"/>
        <v>3749.6400000000003</v>
      </c>
      <c r="K130" s="29">
        <f t="shared" si="36"/>
        <v>4855.799999999999</v>
      </c>
      <c r="L130" s="30">
        <f>+J130-K130</f>
        <v>-1106.159999999999</v>
      </c>
      <c r="M130" s="27">
        <f t="shared" si="29"/>
        <v>-54.57074438627148</v>
      </c>
      <c r="N130" s="19">
        <f t="shared" si="30"/>
        <v>-1160.7307443862703</v>
      </c>
      <c r="O130" s="27">
        <f t="shared" si="31"/>
        <v>730.81</v>
      </c>
      <c r="P130" s="27">
        <f t="shared" si="32"/>
        <v>4384.86</v>
      </c>
      <c r="Q130" s="27">
        <f t="shared" si="33"/>
        <v>-470.9399999999996</v>
      </c>
      <c r="R130" s="19">
        <f t="shared" si="34"/>
        <v>-689.7907443862707</v>
      </c>
    </row>
    <row r="131" spans="1:18" ht="12.75">
      <c r="A131" s="10">
        <v>4</v>
      </c>
      <c r="B131" s="9">
        <f t="shared" si="41"/>
        <v>43191</v>
      </c>
      <c r="C131" s="126">
        <f t="shared" si="43"/>
        <v>43223</v>
      </c>
      <c r="D131" s="126">
        <f t="shared" si="43"/>
        <v>43238</v>
      </c>
      <c r="E131" s="35" t="s">
        <v>15</v>
      </c>
      <c r="F131" s="3">
        <v>9</v>
      </c>
      <c r="G131" s="196">
        <v>8</v>
      </c>
      <c r="H131" s="127">
        <f t="shared" si="28"/>
        <v>809.3</v>
      </c>
      <c r="I131" s="127">
        <f t="shared" si="45"/>
        <v>624.94</v>
      </c>
      <c r="J131" s="28">
        <f t="shared" si="42"/>
        <v>4999.52</v>
      </c>
      <c r="K131" s="29">
        <f t="shared" si="36"/>
        <v>6474.4</v>
      </c>
      <c r="L131" s="30">
        <f aca="true" t="shared" si="46" ref="L131:L141">+J131-K131</f>
        <v>-1474.8799999999992</v>
      </c>
      <c r="M131" s="27">
        <f t="shared" si="29"/>
        <v>-72.76099251502863</v>
      </c>
      <c r="N131" s="19">
        <f t="shared" si="30"/>
        <v>-1547.6409925150278</v>
      </c>
      <c r="O131" s="27">
        <f t="shared" si="31"/>
        <v>730.81</v>
      </c>
      <c r="P131" s="27">
        <f t="shared" si="32"/>
        <v>5846.48</v>
      </c>
      <c r="Q131" s="27">
        <f t="shared" si="33"/>
        <v>-627.9200000000001</v>
      </c>
      <c r="R131" s="19">
        <f t="shared" si="34"/>
        <v>-919.7209925150278</v>
      </c>
    </row>
    <row r="132" spans="1:18" ht="12.75">
      <c r="A132" s="3">
        <v>5</v>
      </c>
      <c r="B132" s="9">
        <f t="shared" si="41"/>
        <v>43221</v>
      </c>
      <c r="C132" s="126">
        <f t="shared" si="43"/>
        <v>43256</v>
      </c>
      <c r="D132" s="126">
        <f t="shared" si="43"/>
        <v>43271</v>
      </c>
      <c r="E132" s="20" t="s">
        <v>15</v>
      </c>
      <c r="F132" s="3">
        <v>9</v>
      </c>
      <c r="G132" s="196">
        <v>11</v>
      </c>
      <c r="H132" s="127">
        <f t="shared" si="28"/>
        <v>809.3</v>
      </c>
      <c r="I132" s="127">
        <f t="shared" si="45"/>
        <v>624.94</v>
      </c>
      <c r="J132" s="28">
        <f t="shared" si="42"/>
        <v>6874.34</v>
      </c>
      <c r="K132" s="29">
        <f t="shared" si="36"/>
        <v>8902.3</v>
      </c>
      <c r="L132" s="30">
        <f t="shared" si="46"/>
        <v>-2027.9599999999991</v>
      </c>
      <c r="M132" s="27">
        <f t="shared" si="29"/>
        <v>-100.04636470816438</v>
      </c>
      <c r="N132" s="19">
        <f t="shared" si="30"/>
        <v>-2128.0063647081633</v>
      </c>
      <c r="O132" s="27">
        <f t="shared" si="31"/>
        <v>730.81</v>
      </c>
      <c r="P132" s="27">
        <f t="shared" si="32"/>
        <v>8038.91</v>
      </c>
      <c r="Q132" s="27">
        <f t="shared" si="33"/>
        <v>-863.3899999999994</v>
      </c>
      <c r="R132" s="19">
        <f t="shared" si="34"/>
        <v>-1264.616364708164</v>
      </c>
    </row>
    <row r="133" spans="1:18" ht="12.75">
      <c r="A133" s="3">
        <v>6</v>
      </c>
      <c r="B133" s="9">
        <f t="shared" si="41"/>
        <v>43252</v>
      </c>
      <c r="C133" s="126">
        <f t="shared" si="43"/>
        <v>43286</v>
      </c>
      <c r="D133" s="126">
        <f t="shared" si="43"/>
        <v>43301</v>
      </c>
      <c r="E133" s="20" t="s">
        <v>15</v>
      </c>
      <c r="F133" s="3">
        <v>9</v>
      </c>
      <c r="G133" s="196">
        <v>14</v>
      </c>
      <c r="H133" s="127">
        <f t="shared" si="28"/>
        <v>809.3</v>
      </c>
      <c r="I133" s="127">
        <f t="shared" si="45"/>
        <v>624.94</v>
      </c>
      <c r="J133" s="28">
        <f t="shared" si="42"/>
        <v>8749.16</v>
      </c>
      <c r="K133" s="29">
        <f t="shared" si="36"/>
        <v>11330.199999999999</v>
      </c>
      <c r="L133" s="39">
        <f t="shared" si="46"/>
        <v>-2581.039999999999</v>
      </c>
      <c r="M133" s="27">
        <f t="shared" si="29"/>
        <v>-127.33173690130012</v>
      </c>
      <c r="N133" s="19">
        <f t="shared" si="30"/>
        <v>-2708.3717369012993</v>
      </c>
      <c r="O133" s="27">
        <f t="shared" si="31"/>
        <v>730.81</v>
      </c>
      <c r="P133" s="27">
        <f t="shared" si="32"/>
        <v>10231.34</v>
      </c>
      <c r="Q133" s="27">
        <f t="shared" si="33"/>
        <v>-1098.8599999999988</v>
      </c>
      <c r="R133" s="19">
        <f t="shared" si="34"/>
        <v>-1609.5117369013005</v>
      </c>
    </row>
    <row r="134" spans="1:18" ht="12.75">
      <c r="A134" s="10">
        <v>7</v>
      </c>
      <c r="B134" s="9">
        <f t="shared" si="41"/>
        <v>43282</v>
      </c>
      <c r="C134" s="126">
        <f t="shared" si="43"/>
        <v>43315</v>
      </c>
      <c r="D134" s="126">
        <f t="shared" si="43"/>
        <v>43330</v>
      </c>
      <c r="E134" s="20" t="s">
        <v>15</v>
      </c>
      <c r="F134" s="3">
        <v>9</v>
      </c>
      <c r="G134" s="196">
        <v>18</v>
      </c>
      <c r="H134" s="127">
        <f t="shared" si="28"/>
        <v>809.3</v>
      </c>
      <c r="I134" s="127">
        <f t="shared" si="45"/>
        <v>624.94</v>
      </c>
      <c r="J134" s="28">
        <f t="shared" si="42"/>
        <v>11248.920000000002</v>
      </c>
      <c r="K134" s="37">
        <f aca="true" t="shared" si="47" ref="K134:K197">+$G134*H134</f>
        <v>14567.4</v>
      </c>
      <c r="L134" s="39">
        <f t="shared" si="46"/>
        <v>-3318.4799999999977</v>
      </c>
      <c r="M134" s="27">
        <f t="shared" si="29"/>
        <v>-163.71223315881443</v>
      </c>
      <c r="N134" s="19">
        <f t="shared" si="30"/>
        <v>-3482.192233158812</v>
      </c>
      <c r="O134" s="27">
        <f t="shared" si="31"/>
        <v>730.81</v>
      </c>
      <c r="P134" s="27">
        <f t="shared" si="32"/>
        <v>13154.579999999998</v>
      </c>
      <c r="Q134" s="27">
        <f t="shared" si="33"/>
        <v>-1412.8200000000015</v>
      </c>
      <c r="R134" s="19">
        <f t="shared" si="34"/>
        <v>-2069.3722331588106</v>
      </c>
    </row>
    <row r="135" spans="1:18" ht="12.75">
      <c r="A135" s="3">
        <v>8</v>
      </c>
      <c r="B135" s="9">
        <f t="shared" si="41"/>
        <v>43313</v>
      </c>
      <c r="C135" s="126">
        <f t="shared" si="43"/>
        <v>43348</v>
      </c>
      <c r="D135" s="126">
        <f t="shared" si="43"/>
        <v>43363</v>
      </c>
      <c r="E135" s="20" t="s">
        <v>15</v>
      </c>
      <c r="F135" s="3">
        <v>9</v>
      </c>
      <c r="G135" s="196">
        <v>15</v>
      </c>
      <c r="H135" s="127">
        <f t="shared" si="28"/>
        <v>809.3</v>
      </c>
      <c r="I135" s="127">
        <f t="shared" si="45"/>
        <v>624.94</v>
      </c>
      <c r="J135" s="28">
        <f t="shared" si="42"/>
        <v>9374.1</v>
      </c>
      <c r="K135" s="37">
        <f t="shared" si="47"/>
        <v>12139.5</v>
      </c>
      <c r="L135" s="39">
        <f t="shared" si="46"/>
        <v>-2765.3999999999996</v>
      </c>
      <c r="M135" s="27">
        <f t="shared" si="29"/>
        <v>-136.4268609656787</v>
      </c>
      <c r="N135" s="19">
        <f t="shared" si="30"/>
        <v>-2901.8268609656784</v>
      </c>
      <c r="O135" s="27">
        <f t="shared" si="31"/>
        <v>730.81</v>
      </c>
      <c r="P135" s="27">
        <f t="shared" si="32"/>
        <v>10962.15</v>
      </c>
      <c r="Q135" s="27">
        <f t="shared" si="33"/>
        <v>-1177.3500000000004</v>
      </c>
      <c r="R135" s="19">
        <f t="shared" si="34"/>
        <v>-1724.476860965678</v>
      </c>
    </row>
    <row r="136" spans="1:18" ht="12.75">
      <c r="A136" s="3">
        <v>9</v>
      </c>
      <c r="B136" s="9">
        <f t="shared" si="41"/>
        <v>43344</v>
      </c>
      <c r="C136" s="126">
        <f t="shared" si="43"/>
        <v>43376</v>
      </c>
      <c r="D136" s="126">
        <f t="shared" si="43"/>
        <v>43391</v>
      </c>
      <c r="E136" s="20" t="s">
        <v>15</v>
      </c>
      <c r="F136" s="3">
        <v>9</v>
      </c>
      <c r="G136" s="196">
        <v>7</v>
      </c>
      <c r="H136" s="127">
        <f t="shared" si="28"/>
        <v>809.3</v>
      </c>
      <c r="I136" s="127">
        <f t="shared" si="45"/>
        <v>624.94</v>
      </c>
      <c r="J136" s="28">
        <f t="shared" si="42"/>
        <v>4374.58</v>
      </c>
      <c r="K136" s="37">
        <f t="shared" si="47"/>
        <v>5665.099999999999</v>
      </c>
      <c r="L136" s="39">
        <f t="shared" si="46"/>
        <v>-1290.5199999999995</v>
      </c>
      <c r="M136" s="27">
        <f t="shared" si="29"/>
        <v>-63.66586845065006</v>
      </c>
      <c r="N136" s="19">
        <f t="shared" si="30"/>
        <v>-1354.1858684506497</v>
      </c>
      <c r="O136" s="27">
        <f t="shared" si="31"/>
        <v>730.81</v>
      </c>
      <c r="P136" s="27">
        <f t="shared" si="32"/>
        <v>5115.67</v>
      </c>
      <c r="Q136" s="27">
        <f t="shared" si="33"/>
        <v>-549.4299999999994</v>
      </c>
      <c r="R136" s="19">
        <f t="shared" si="34"/>
        <v>-804.7558684506503</v>
      </c>
    </row>
    <row r="137" spans="1:18" ht="12.75">
      <c r="A137" s="10">
        <v>10</v>
      </c>
      <c r="B137" s="9">
        <f t="shared" si="41"/>
        <v>43374</v>
      </c>
      <c r="C137" s="126">
        <f t="shared" si="43"/>
        <v>43409</v>
      </c>
      <c r="D137" s="126">
        <f t="shared" si="43"/>
        <v>43424</v>
      </c>
      <c r="E137" s="20" t="s">
        <v>15</v>
      </c>
      <c r="F137" s="3">
        <v>9</v>
      </c>
      <c r="G137" s="196">
        <v>7</v>
      </c>
      <c r="H137" s="127">
        <f t="shared" si="28"/>
        <v>809.3</v>
      </c>
      <c r="I137" s="127">
        <f t="shared" si="45"/>
        <v>624.94</v>
      </c>
      <c r="J137" s="28">
        <f t="shared" si="42"/>
        <v>4374.58</v>
      </c>
      <c r="K137" s="37">
        <f t="shared" si="47"/>
        <v>5665.099999999999</v>
      </c>
      <c r="L137" s="39">
        <f t="shared" si="46"/>
        <v>-1290.5199999999995</v>
      </c>
      <c r="M137" s="27">
        <f t="shared" si="29"/>
        <v>-63.66586845065006</v>
      </c>
      <c r="N137" s="19">
        <f t="shared" si="30"/>
        <v>-1354.1858684506497</v>
      </c>
      <c r="O137" s="27">
        <f t="shared" si="31"/>
        <v>730.81</v>
      </c>
      <c r="P137" s="27">
        <f t="shared" si="32"/>
        <v>5115.67</v>
      </c>
      <c r="Q137" s="27">
        <f t="shared" si="33"/>
        <v>-549.4299999999994</v>
      </c>
      <c r="R137" s="19">
        <f t="shared" si="34"/>
        <v>-804.7558684506503</v>
      </c>
    </row>
    <row r="138" spans="1:18" ht="12.75">
      <c r="A138" s="3">
        <v>11</v>
      </c>
      <c r="B138" s="9">
        <f t="shared" si="41"/>
        <v>43405</v>
      </c>
      <c r="C138" s="126">
        <f t="shared" si="43"/>
        <v>43439</v>
      </c>
      <c r="D138" s="126">
        <f t="shared" si="43"/>
        <v>43454</v>
      </c>
      <c r="E138" s="20" t="s">
        <v>15</v>
      </c>
      <c r="F138" s="3">
        <v>9</v>
      </c>
      <c r="G138" s="196">
        <v>7</v>
      </c>
      <c r="H138" s="127">
        <f t="shared" si="28"/>
        <v>809.3</v>
      </c>
      <c r="I138" s="127">
        <f t="shared" si="45"/>
        <v>624.94</v>
      </c>
      <c r="J138" s="28">
        <f t="shared" si="42"/>
        <v>4374.58</v>
      </c>
      <c r="K138" s="37">
        <f t="shared" si="47"/>
        <v>5665.099999999999</v>
      </c>
      <c r="L138" s="39">
        <f t="shared" si="46"/>
        <v>-1290.5199999999995</v>
      </c>
      <c r="M138" s="27">
        <f t="shared" si="29"/>
        <v>-63.66586845065006</v>
      </c>
      <c r="N138" s="19">
        <f t="shared" si="30"/>
        <v>-1354.1858684506497</v>
      </c>
      <c r="O138" s="27">
        <f t="shared" si="31"/>
        <v>730.81</v>
      </c>
      <c r="P138" s="27">
        <f t="shared" si="32"/>
        <v>5115.67</v>
      </c>
      <c r="Q138" s="27">
        <f t="shared" si="33"/>
        <v>-549.4299999999994</v>
      </c>
      <c r="R138" s="19">
        <f t="shared" si="34"/>
        <v>-804.7558684506503</v>
      </c>
    </row>
    <row r="139" spans="1:18" s="34" customFormat="1" ht="12.75">
      <c r="A139" s="3">
        <v>12</v>
      </c>
      <c r="B139" s="44">
        <f t="shared" si="41"/>
        <v>43435</v>
      </c>
      <c r="C139" s="126">
        <f t="shared" si="43"/>
        <v>43468</v>
      </c>
      <c r="D139" s="126">
        <f t="shared" si="43"/>
        <v>43483</v>
      </c>
      <c r="E139" s="45" t="s">
        <v>15</v>
      </c>
      <c r="F139" s="42">
        <v>9</v>
      </c>
      <c r="G139" s="197">
        <v>7</v>
      </c>
      <c r="H139" s="127">
        <f t="shared" si="28"/>
        <v>809.3</v>
      </c>
      <c r="I139" s="128">
        <f t="shared" si="45"/>
        <v>624.94</v>
      </c>
      <c r="J139" s="46">
        <f t="shared" si="42"/>
        <v>4374.58</v>
      </c>
      <c r="K139" s="47">
        <f t="shared" si="47"/>
        <v>5665.099999999999</v>
      </c>
      <c r="L139" s="48">
        <f t="shared" si="46"/>
        <v>-1290.5199999999995</v>
      </c>
      <c r="M139" s="27">
        <f t="shared" si="29"/>
        <v>-63.66586845065006</v>
      </c>
      <c r="N139" s="19">
        <f t="shared" si="30"/>
        <v>-1354.1858684506497</v>
      </c>
      <c r="O139" s="27">
        <f t="shared" si="31"/>
        <v>730.81</v>
      </c>
      <c r="P139" s="27">
        <f t="shared" si="32"/>
        <v>5115.67</v>
      </c>
      <c r="Q139" s="27">
        <f t="shared" si="33"/>
        <v>-549.4299999999994</v>
      </c>
      <c r="R139" s="19">
        <f t="shared" si="34"/>
        <v>-804.7558684506503</v>
      </c>
    </row>
    <row r="140" spans="1:18" ht="12.75">
      <c r="A140" s="10">
        <v>1</v>
      </c>
      <c r="B140" s="9">
        <f t="shared" si="41"/>
        <v>43101</v>
      </c>
      <c r="C140" s="125">
        <f aca="true" t="shared" si="48" ref="C140:D151">+C128</f>
        <v>43136</v>
      </c>
      <c r="D140" s="125">
        <f t="shared" si="48"/>
        <v>43151</v>
      </c>
      <c r="E140" s="59" t="s">
        <v>16</v>
      </c>
      <c r="F140" s="3">
        <v>9</v>
      </c>
      <c r="G140" s="196">
        <v>2</v>
      </c>
      <c r="H140" s="127">
        <f t="shared" si="28"/>
        <v>809.3</v>
      </c>
      <c r="I140" s="127">
        <f t="shared" si="45"/>
        <v>624.94</v>
      </c>
      <c r="J140" s="28">
        <f t="shared" si="42"/>
        <v>1249.88</v>
      </c>
      <c r="K140" s="29">
        <f t="shared" si="47"/>
        <v>1618.6</v>
      </c>
      <c r="L140" s="30">
        <f t="shared" si="46"/>
        <v>-368.7199999999998</v>
      </c>
      <c r="M140" s="27">
        <f t="shared" si="29"/>
        <v>-18.19024812875716</v>
      </c>
      <c r="N140" s="19">
        <f t="shared" si="30"/>
        <v>-386.91024812875696</v>
      </c>
      <c r="O140" s="27">
        <f t="shared" si="31"/>
        <v>730.81</v>
      </c>
      <c r="P140" s="27">
        <f t="shared" si="32"/>
        <v>1461.62</v>
      </c>
      <c r="Q140" s="27">
        <f t="shared" si="33"/>
        <v>-156.98000000000002</v>
      </c>
      <c r="R140" s="19">
        <f t="shared" si="34"/>
        <v>-229.93024812875694</v>
      </c>
    </row>
    <row r="141" spans="1:18" ht="12.75">
      <c r="A141" s="3">
        <v>2</v>
      </c>
      <c r="B141" s="9">
        <f t="shared" si="41"/>
        <v>43132</v>
      </c>
      <c r="C141" s="126">
        <f t="shared" si="48"/>
        <v>43164</v>
      </c>
      <c r="D141" s="126">
        <f t="shared" si="48"/>
        <v>43179</v>
      </c>
      <c r="E141" s="20" t="s">
        <v>16</v>
      </c>
      <c r="F141" s="3">
        <v>9</v>
      </c>
      <c r="G141" s="196">
        <v>2</v>
      </c>
      <c r="H141" s="127">
        <f t="shared" si="28"/>
        <v>809.3</v>
      </c>
      <c r="I141" s="127">
        <f t="shared" si="45"/>
        <v>624.94</v>
      </c>
      <c r="J141" s="28">
        <f t="shared" si="42"/>
        <v>1249.88</v>
      </c>
      <c r="K141" s="29">
        <f t="shared" si="47"/>
        <v>1618.6</v>
      </c>
      <c r="L141" s="30">
        <f t="shared" si="46"/>
        <v>-368.7199999999998</v>
      </c>
      <c r="M141" s="27">
        <f t="shared" si="29"/>
        <v>-18.19024812875716</v>
      </c>
      <c r="N141" s="19">
        <f t="shared" si="30"/>
        <v>-386.91024812875696</v>
      </c>
      <c r="O141" s="27">
        <f t="shared" si="31"/>
        <v>730.81</v>
      </c>
      <c r="P141" s="27">
        <f t="shared" si="32"/>
        <v>1461.62</v>
      </c>
      <c r="Q141" s="27">
        <f t="shared" si="33"/>
        <v>-156.98000000000002</v>
      </c>
      <c r="R141" s="19">
        <f t="shared" si="34"/>
        <v>-229.93024812875694</v>
      </c>
    </row>
    <row r="142" spans="1:18" ht="12.75">
      <c r="A142" s="3">
        <v>3</v>
      </c>
      <c r="B142" s="9">
        <f t="shared" si="41"/>
        <v>43160</v>
      </c>
      <c r="C142" s="126">
        <f t="shared" si="48"/>
        <v>43194</v>
      </c>
      <c r="D142" s="126">
        <f t="shared" si="48"/>
        <v>43209</v>
      </c>
      <c r="E142" s="20" t="s">
        <v>16</v>
      </c>
      <c r="F142" s="3">
        <v>9</v>
      </c>
      <c r="G142" s="196">
        <v>1</v>
      </c>
      <c r="H142" s="127">
        <f t="shared" si="28"/>
        <v>809.3</v>
      </c>
      <c r="I142" s="127">
        <f t="shared" si="45"/>
        <v>624.94</v>
      </c>
      <c r="J142" s="28">
        <f t="shared" si="42"/>
        <v>624.94</v>
      </c>
      <c r="K142" s="29">
        <f t="shared" si="47"/>
        <v>809.3</v>
      </c>
      <c r="L142" s="30">
        <f>+J142-K142</f>
        <v>-184.3599999999999</v>
      </c>
      <c r="M142" s="27">
        <f t="shared" si="29"/>
        <v>-9.09512406437858</v>
      </c>
      <c r="N142" s="19">
        <f t="shared" si="30"/>
        <v>-193.45512406437848</v>
      </c>
      <c r="O142" s="27">
        <f t="shared" si="31"/>
        <v>730.81</v>
      </c>
      <c r="P142" s="27">
        <f t="shared" si="32"/>
        <v>730.81</v>
      </c>
      <c r="Q142" s="27">
        <f t="shared" si="33"/>
        <v>-78.49000000000001</v>
      </c>
      <c r="R142" s="19">
        <f t="shared" si="34"/>
        <v>-114.96512406437847</v>
      </c>
    </row>
    <row r="143" spans="1:18" ht="12.75">
      <c r="A143" s="10">
        <v>4</v>
      </c>
      <c r="B143" s="9">
        <f t="shared" si="41"/>
        <v>43191</v>
      </c>
      <c r="C143" s="126">
        <f t="shared" si="48"/>
        <v>43223</v>
      </c>
      <c r="D143" s="126">
        <f t="shared" si="48"/>
        <v>43238</v>
      </c>
      <c r="E143" s="20" t="s">
        <v>16</v>
      </c>
      <c r="F143" s="3">
        <v>9</v>
      </c>
      <c r="G143" s="196">
        <v>1</v>
      </c>
      <c r="H143" s="127">
        <f t="shared" si="28"/>
        <v>809.3</v>
      </c>
      <c r="I143" s="127">
        <f t="shared" si="45"/>
        <v>624.94</v>
      </c>
      <c r="J143" s="28">
        <f t="shared" si="42"/>
        <v>624.94</v>
      </c>
      <c r="K143" s="29">
        <f t="shared" si="47"/>
        <v>809.3</v>
      </c>
      <c r="L143" s="30">
        <f aca="true" t="shared" si="49" ref="L143:L153">+J143-K143</f>
        <v>-184.3599999999999</v>
      </c>
      <c r="M143" s="27">
        <f t="shared" si="29"/>
        <v>-9.09512406437858</v>
      </c>
      <c r="N143" s="19">
        <f t="shared" si="30"/>
        <v>-193.45512406437848</v>
      </c>
      <c r="O143" s="27">
        <f t="shared" si="31"/>
        <v>730.81</v>
      </c>
      <c r="P143" s="27">
        <f t="shared" si="32"/>
        <v>730.81</v>
      </c>
      <c r="Q143" s="27">
        <f t="shared" si="33"/>
        <v>-78.49000000000001</v>
      </c>
      <c r="R143" s="19">
        <f t="shared" si="34"/>
        <v>-114.96512406437847</v>
      </c>
    </row>
    <row r="144" spans="1:18" ht="12.75">
      <c r="A144" s="3">
        <v>5</v>
      </c>
      <c r="B144" s="9">
        <f t="shared" si="41"/>
        <v>43221</v>
      </c>
      <c r="C144" s="126">
        <f t="shared" si="48"/>
        <v>43256</v>
      </c>
      <c r="D144" s="126">
        <f t="shared" si="48"/>
        <v>43271</v>
      </c>
      <c r="E144" s="20" t="s">
        <v>16</v>
      </c>
      <c r="F144" s="3">
        <v>9</v>
      </c>
      <c r="G144" s="196">
        <v>4</v>
      </c>
      <c r="H144" s="127">
        <f t="shared" si="28"/>
        <v>809.3</v>
      </c>
      <c r="I144" s="127">
        <f t="shared" si="45"/>
        <v>624.94</v>
      </c>
      <c r="J144" s="28">
        <f t="shared" si="42"/>
        <v>2499.76</v>
      </c>
      <c r="K144" s="29">
        <f t="shared" si="47"/>
        <v>3237.2</v>
      </c>
      <c r="L144" s="30">
        <f t="shared" si="49"/>
        <v>-737.4399999999996</v>
      </c>
      <c r="M144" s="27">
        <f t="shared" si="29"/>
        <v>-36.38049625751432</v>
      </c>
      <c r="N144" s="19">
        <f t="shared" si="30"/>
        <v>-773.8204962575139</v>
      </c>
      <c r="O144" s="27">
        <f t="shared" si="31"/>
        <v>730.81</v>
      </c>
      <c r="P144" s="27">
        <f t="shared" si="32"/>
        <v>2923.24</v>
      </c>
      <c r="Q144" s="27">
        <f t="shared" si="33"/>
        <v>-313.96000000000004</v>
      </c>
      <c r="R144" s="19">
        <f t="shared" si="34"/>
        <v>-459.8604962575139</v>
      </c>
    </row>
    <row r="145" spans="1:18" ht="12.75">
      <c r="A145" s="3">
        <v>6</v>
      </c>
      <c r="B145" s="9">
        <f t="shared" si="41"/>
        <v>43252</v>
      </c>
      <c r="C145" s="126">
        <f t="shared" si="48"/>
        <v>43286</v>
      </c>
      <c r="D145" s="126">
        <f t="shared" si="48"/>
        <v>43301</v>
      </c>
      <c r="E145" s="20" t="s">
        <v>16</v>
      </c>
      <c r="F145" s="3">
        <v>9</v>
      </c>
      <c r="G145" s="196">
        <v>3</v>
      </c>
      <c r="H145" s="127">
        <f t="shared" si="28"/>
        <v>809.3</v>
      </c>
      <c r="I145" s="127">
        <f t="shared" si="45"/>
        <v>624.94</v>
      </c>
      <c r="J145" s="28">
        <f t="shared" si="42"/>
        <v>1874.8200000000002</v>
      </c>
      <c r="K145" s="29">
        <f t="shared" si="47"/>
        <v>2427.8999999999996</v>
      </c>
      <c r="L145" s="39">
        <f t="shared" si="49"/>
        <v>-553.0799999999995</v>
      </c>
      <c r="M145" s="27">
        <f t="shared" si="29"/>
        <v>-27.28537219313574</v>
      </c>
      <c r="N145" s="19">
        <f t="shared" si="30"/>
        <v>-580.3653721931352</v>
      </c>
      <c r="O145" s="27">
        <f t="shared" si="31"/>
        <v>730.81</v>
      </c>
      <c r="P145" s="27">
        <f t="shared" si="32"/>
        <v>2192.43</v>
      </c>
      <c r="Q145" s="27">
        <f t="shared" si="33"/>
        <v>-235.4699999999998</v>
      </c>
      <c r="R145" s="19">
        <f t="shared" si="34"/>
        <v>-344.89537219313536</v>
      </c>
    </row>
    <row r="146" spans="1:18" ht="12.75">
      <c r="A146" s="10">
        <v>7</v>
      </c>
      <c r="B146" s="9">
        <f t="shared" si="41"/>
        <v>43282</v>
      </c>
      <c r="C146" s="126">
        <f t="shared" si="48"/>
        <v>43315</v>
      </c>
      <c r="D146" s="126">
        <f t="shared" si="48"/>
        <v>43330</v>
      </c>
      <c r="E146" s="20" t="s">
        <v>16</v>
      </c>
      <c r="F146" s="3">
        <v>9</v>
      </c>
      <c r="G146" s="196">
        <v>4</v>
      </c>
      <c r="H146" s="127">
        <f t="shared" si="28"/>
        <v>809.3</v>
      </c>
      <c r="I146" s="127">
        <f t="shared" si="45"/>
        <v>624.94</v>
      </c>
      <c r="J146" s="28">
        <f t="shared" si="42"/>
        <v>2499.76</v>
      </c>
      <c r="K146" s="37">
        <f t="shared" si="47"/>
        <v>3237.2</v>
      </c>
      <c r="L146" s="39">
        <f t="shared" si="49"/>
        <v>-737.4399999999996</v>
      </c>
      <c r="M146" s="27">
        <f t="shared" si="29"/>
        <v>-36.38049625751432</v>
      </c>
      <c r="N146" s="19">
        <f t="shared" si="30"/>
        <v>-773.8204962575139</v>
      </c>
      <c r="O146" s="27">
        <f t="shared" si="31"/>
        <v>730.81</v>
      </c>
      <c r="P146" s="27">
        <f t="shared" si="32"/>
        <v>2923.24</v>
      </c>
      <c r="Q146" s="27">
        <f t="shared" si="33"/>
        <v>-313.96000000000004</v>
      </c>
      <c r="R146" s="19">
        <f t="shared" si="34"/>
        <v>-459.8604962575139</v>
      </c>
    </row>
    <row r="147" spans="1:18" ht="12.75">
      <c r="A147" s="3">
        <v>8</v>
      </c>
      <c r="B147" s="9">
        <f t="shared" si="41"/>
        <v>43313</v>
      </c>
      <c r="C147" s="126">
        <f t="shared" si="48"/>
        <v>43348</v>
      </c>
      <c r="D147" s="126">
        <f t="shared" si="48"/>
        <v>43363</v>
      </c>
      <c r="E147" s="20" t="s">
        <v>16</v>
      </c>
      <c r="F147" s="3">
        <v>9</v>
      </c>
      <c r="G147" s="196">
        <v>6</v>
      </c>
      <c r="H147" s="127">
        <f t="shared" si="28"/>
        <v>809.3</v>
      </c>
      <c r="I147" s="127">
        <f t="shared" si="45"/>
        <v>624.94</v>
      </c>
      <c r="J147" s="28">
        <f t="shared" si="42"/>
        <v>3749.6400000000003</v>
      </c>
      <c r="K147" s="37">
        <f t="shared" si="47"/>
        <v>4855.799999999999</v>
      </c>
      <c r="L147" s="39">
        <f t="shared" si="49"/>
        <v>-1106.159999999999</v>
      </c>
      <c r="M147" s="27">
        <f t="shared" si="29"/>
        <v>-54.57074438627148</v>
      </c>
      <c r="N147" s="19">
        <f t="shared" si="30"/>
        <v>-1160.7307443862703</v>
      </c>
      <c r="O147" s="27">
        <f t="shared" si="31"/>
        <v>730.81</v>
      </c>
      <c r="P147" s="27">
        <f t="shared" si="32"/>
        <v>4384.86</v>
      </c>
      <c r="Q147" s="27">
        <f t="shared" si="33"/>
        <v>-470.9399999999996</v>
      </c>
      <c r="R147" s="19">
        <f t="shared" si="34"/>
        <v>-689.7907443862707</v>
      </c>
    </row>
    <row r="148" spans="1:18" ht="12.75">
      <c r="A148" s="3">
        <v>9</v>
      </c>
      <c r="B148" s="9">
        <f t="shared" si="41"/>
        <v>43344</v>
      </c>
      <c r="C148" s="126">
        <f t="shared" si="48"/>
        <v>43376</v>
      </c>
      <c r="D148" s="126">
        <f t="shared" si="48"/>
        <v>43391</v>
      </c>
      <c r="E148" s="20" t="s">
        <v>16</v>
      </c>
      <c r="F148" s="3">
        <v>9</v>
      </c>
      <c r="G148" s="196">
        <v>2</v>
      </c>
      <c r="H148" s="127">
        <f aca="true" t="shared" si="50" ref="H148:H211">$K$3</f>
        <v>809.3</v>
      </c>
      <c r="I148" s="127">
        <f aca="true" t="shared" si="51" ref="I148:I179">$J$3</f>
        <v>624.94</v>
      </c>
      <c r="J148" s="28">
        <f t="shared" si="42"/>
        <v>1249.88</v>
      </c>
      <c r="K148" s="37">
        <f t="shared" si="47"/>
        <v>1618.6</v>
      </c>
      <c r="L148" s="39">
        <f t="shared" si="49"/>
        <v>-368.7199999999998</v>
      </c>
      <c r="M148" s="27">
        <f t="shared" si="29"/>
        <v>-18.19024812875716</v>
      </c>
      <c r="N148" s="19">
        <f t="shared" si="30"/>
        <v>-386.91024812875696</v>
      </c>
      <c r="O148" s="27">
        <f t="shared" si="31"/>
        <v>730.81</v>
      </c>
      <c r="P148" s="27">
        <f t="shared" si="32"/>
        <v>1461.62</v>
      </c>
      <c r="Q148" s="27">
        <f t="shared" si="33"/>
        <v>-156.98000000000002</v>
      </c>
      <c r="R148" s="19">
        <f t="shared" si="34"/>
        <v>-229.93024812875694</v>
      </c>
    </row>
    <row r="149" spans="1:18" ht="12.75">
      <c r="A149" s="10">
        <v>10</v>
      </c>
      <c r="B149" s="9">
        <f aca="true" t="shared" si="52" ref="B149:B211">DATE($R$1,A149,1)</f>
        <v>43374</v>
      </c>
      <c r="C149" s="126">
        <f t="shared" si="48"/>
        <v>43409</v>
      </c>
      <c r="D149" s="126">
        <f t="shared" si="48"/>
        <v>43424</v>
      </c>
      <c r="E149" s="20" t="s">
        <v>16</v>
      </c>
      <c r="F149" s="3">
        <v>9</v>
      </c>
      <c r="G149" s="196">
        <v>2</v>
      </c>
      <c r="H149" s="127">
        <f t="shared" si="50"/>
        <v>809.3</v>
      </c>
      <c r="I149" s="127">
        <f t="shared" si="51"/>
        <v>624.94</v>
      </c>
      <c r="J149" s="28">
        <f aca="true" t="shared" si="53" ref="J149:J211">+$G149*I149</f>
        <v>1249.88</v>
      </c>
      <c r="K149" s="37">
        <f t="shared" si="47"/>
        <v>1618.6</v>
      </c>
      <c r="L149" s="39">
        <f t="shared" si="49"/>
        <v>-368.7199999999998</v>
      </c>
      <c r="M149" s="27">
        <f aca="true" t="shared" si="54" ref="M149:M211">G149/$G$212*$M$14</f>
        <v>-18.19024812875716</v>
      </c>
      <c r="N149" s="19">
        <f aca="true" t="shared" si="55" ref="N149:N211">SUM(L149:M149)</f>
        <v>-386.91024812875696</v>
      </c>
      <c r="O149" s="27">
        <f aca="true" t="shared" si="56" ref="O149:O211">+$P$3</f>
        <v>730.81</v>
      </c>
      <c r="P149" s="27">
        <f aca="true" t="shared" si="57" ref="P149:P211">+G149*O149</f>
        <v>1461.62</v>
      </c>
      <c r="Q149" s="27">
        <f aca="true" t="shared" si="58" ref="Q149:Q211">+P149-K149</f>
        <v>-156.98000000000002</v>
      </c>
      <c r="R149" s="19">
        <f aca="true" t="shared" si="59" ref="R149:R211">+N149-Q149</f>
        <v>-229.93024812875694</v>
      </c>
    </row>
    <row r="150" spans="1:18" ht="12.75">
      <c r="A150" s="3">
        <v>11</v>
      </c>
      <c r="B150" s="9">
        <f t="shared" si="52"/>
        <v>43405</v>
      </c>
      <c r="C150" s="126">
        <f t="shared" si="48"/>
        <v>43439</v>
      </c>
      <c r="D150" s="126">
        <f t="shared" si="48"/>
        <v>43454</v>
      </c>
      <c r="E150" s="20" t="s">
        <v>16</v>
      </c>
      <c r="F150" s="3">
        <v>9</v>
      </c>
      <c r="G150" s="196">
        <v>3</v>
      </c>
      <c r="H150" s="127">
        <f t="shared" si="50"/>
        <v>809.3</v>
      </c>
      <c r="I150" s="127">
        <f t="shared" si="51"/>
        <v>624.94</v>
      </c>
      <c r="J150" s="28">
        <f t="shared" si="53"/>
        <v>1874.8200000000002</v>
      </c>
      <c r="K150" s="37">
        <f t="shared" si="47"/>
        <v>2427.8999999999996</v>
      </c>
      <c r="L150" s="39">
        <f t="shared" si="49"/>
        <v>-553.0799999999995</v>
      </c>
      <c r="M150" s="27">
        <f t="shared" si="54"/>
        <v>-27.28537219313574</v>
      </c>
      <c r="N150" s="19">
        <f t="shared" si="55"/>
        <v>-580.3653721931352</v>
      </c>
      <c r="O150" s="27">
        <f t="shared" si="56"/>
        <v>730.81</v>
      </c>
      <c r="P150" s="27">
        <f t="shared" si="57"/>
        <v>2192.43</v>
      </c>
      <c r="Q150" s="27">
        <f t="shared" si="58"/>
        <v>-235.4699999999998</v>
      </c>
      <c r="R150" s="19">
        <f t="shared" si="59"/>
        <v>-344.89537219313536</v>
      </c>
    </row>
    <row r="151" spans="1:18" s="34" customFormat="1" ht="12.75">
      <c r="A151" s="3">
        <v>12</v>
      </c>
      <c r="B151" s="44">
        <f t="shared" si="52"/>
        <v>43435</v>
      </c>
      <c r="C151" s="126">
        <f t="shared" si="48"/>
        <v>43468</v>
      </c>
      <c r="D151" s="126">
        <f t="shared" si="48"/>
        <v>43483</v>
      </c>
      <c r="E151" s="45" t="s">
        <v>16</v>
      </c>
      <c r="F151" s="42">
        <v>9</v>
      </c>
      <c r="G151" s="197">
        <v>2</v>
      </c>
      <c r="H151" s="127">
        <f t="shared" si="50"/>
        <v>809.3</v>
      </c>
      <c r="I151" s="128">
        <f t="shared" si="51"/>
        <v>624.94</v>
      </c>
      <c r="J151" s="46">
        <f t="shared" si="53"/>
        <v>1249.88</v>
      </c>
      <c r="K151" s="47">
        <f t="shared" si="47"/>
        <v>1618.6</v>
      </c>
      <c r="L151" s="48">
        <f t="shared" si="49"/>
        <v>-368.7199999999998</v>
      </c>
      <c r="M151" s="27">
        <f t="shared" si="54"/>
        <v>-18.19024812875716</v>
      </c>
      <c r="N151" s="19">
        <f t="shared" si="55"/>
        <v>-386.91024812875696</v>
      </c>
      <c r="O151" s="27">
        <f t="shared" si="56"/>
        <v>730.81</v>
      </c>
      <c r="P151" s="27">
        <f t="shared" si="57"/>
        <v>1461.62</v>
      </c>
      <c r="Q151" s="27">
        <f t="shared" si="58"/>
        <v>-156.98000000000002</v>
      </c>
      <c r="R151" s="19">
        <f t="shared" si="59"/>
        <v>-229.93024812875694</v>
      </c>
    </row>
    <row r="152" spans="1:18" ht="12.75">
      <c r="A152" s="10">
        <v>1</v>
      </c>
      <c r="B152" s="9">
        <f t="shared" si="52"/>
        <v>43101</v>
      </c>
      <c r="C152" s="125">
        <f aca="true" t="shared" si="60" ref="C152:D171">+C140</f>
        <v>43136</v>
      </c>
      <c r="D152" s="125">
        <f t="shared" si="60"/>
        <v>43151</v>
      </c>
      <c r="E152" s="59" t="s">
        <v>56</v>
      </c>
      <c r="F152" s="10">
        <v>9</v>
      </c>
      <c r="G152" s="196">
        <v>126</v>
      </c>
      <c r="H152" s="127">
        <f t="shared" si="50"/>
        <v>809.3</v>
      </c>
      <c r="I152" s="127">
        <f t="shared" si="51"/>
        <v>624.94</v>
      </c>
      <c r="J152" s="28">
        <f t="shared" si="53"/>
        <v>78742.44</v>
      </c>
      <c r="K152" s="29">
        <f t="shared" si="47"/>
        <v>101971.79999999999</v>
      </c>
      <c r="L152" s="30">
        <f t="shared" si="49"/>
        <v>-23229.359999999986</v>
      </c>
      <c r="M152" s="27">
        <f t="shared" si="54"/>
        <v>-1145.985632111701</v>
      </c>
      <c r="N152" s="19">
        <f t="shared" si="55"/>
        <v>-24375.345632111686</v>
      </c>
      <c r="O152" s="27">
        <f t="shared" si="56"/>
        <v>730.81</v>
      </c>
      <c r="P152" s="27">
        <f t="shared" si="57"/>
        <v>92082.06</v>
      </c>
      <c r="Q152" s="27">
        <f t="shared" si="58"/>
        <v>-9889.73999999999</v>
      </c>
      <c r="R152" s="19">
        <f t="shared" si="59"/>
        <v>-14485.605632111696</v>
      </c>
    </row>
    <row r="153" spans="1:18" ht="12.75">
      <c r="A153" s="3">
        <v>2</v>
      </c>
      <c r="B153" s="9">
        <f t="shared" si="52"/>
        <v>43132</v>
      </c>
      <c r="C153" s="126">
        <f t="shared" si="60"/>
        <v>43164</v>
      </c>
      <c r="D153" s="126">
        <f t="shared" si="60"/>
        <v>43179</v>
      </c>
      <c r="E153" s="70" t="s">
        <v>56</v>
      </c>
      <c r="F153" s="3">
        <v>9</v>
      </c>
      <c r="G153" s="196">
        <v>103</v>
      </c>
      <c r="H153" s="127">
        <f t="shared" si="50"/>
        <v>809.3</v>
      </c>
      <c r="I153" s="127">
        <f t="shared" si="51"/>
        <v>624.94</v>
      </c>
      <c r="J153" s="28">
        <f t="shared" si="53"/>
        <v>64368.82000000001</v>
      </c>
      <c r="K153" s="29">
        <f t="shared" si="47"/>
        <v>83357.9</v>
      </c>
      <c r="L153" s="30">
        <f t="shared" si="49"/>
        <v>-18989.079999999987</v>
      </c>
      <c r="M153" s="27">
        <f t="shared" si="54"/>
        <v>-936.7977786309937</v>
      </c>
      <c r="N153" s="19">
        <f t="shared" si="55"/>
        <v>-19925.87777863098</v>
      </c>
      <c r="O153" s="27">
        <f t="shared" si="56"/>
        <v>730.81</v>
      </c>
      <c r="P153" s="27">
        <f t="shared" si="57"/>
        <v>75273.43</v>
      </c>
      <c r="Q153" s="27">
        <f t="shared" si="58"/>
        <v>-8084.470000000001</v>
      </c>
      <c r="R153" s="19">
        <f t="shared" si="59"/>
        <v>-11841.407778630979</v>
      </c>
    </row>
    <row r="154" spans="1:18" ht="12.75">
      <c r="A154" s="3">
        <v>3</v>
      </c>
      <c r="B154" s="9">
        <f t="shared" si="52"/>
        <v>43160</v>
      </c>
      <c r="C154" s="126">
        <f t="shared" si="60"/>
        <v>43194</v>
      </c>
      <c r="D154" s="126">
        <f t="shared" si="60"/>
        <v>43209</v>
      </c>
      <c r="E154" s="70" t="s">
        <v>56</v>
      </c>
      <c r="F154" s="3">
        <v>9</v>
      </c>
      <c r="G154" s="196">
        <v>92</v>
      </c>
      <c r="H154" s="127">
        <f t="shared" si="50"/>
        <v>809.3</v>
      </c>
      <c r="I154" s="127">
        <f t="shared" si="51"/>
        <v>624.94</v>
      </c>
      <c r="J154" s="28">
        <f t="shared" si="53"/>
        <v>57494.48</v>
      </c>
      <c r="K154" s="29">
        <f t="shared" si="47"/>
        <v>74455.59999999999</v>
      </c>
      <c r="L154" s="30">
        <f>+J154-K154</f>
        <v>-16961.119999999988</v>
      </c>
      <c r="M154" s="27">
        <f t="shared" si="54"/>
        <v>-836.7514139228293</v>
      </c>
      <c r="N154" s="19">
        <f t="shared" si="55"/>
        <v>-17797.871413922818</v>
      </c>
      <c r="O154" s="27">
        <f t="shared" si="56"/>
        <v>730.81</v>
      </c>
      <c r="P154" s="27">
        <f t="shared" si="57"/>
        <v>67234.51999999999</v>
      </c>
      <c r="Q154" s="27">
        <f t="shared" si="58"/>
        <v>-7221.080000000002</v>
      </c>
      <c r="R154" s="19">
        <f t="shared" si="59"/>
        <v>-10576.791413922816</v>
      </c>
    </row>
    <row r="155" spans="1:18" ht="12.75">
      <c r="A155" s="10">
        <v>4</v>
      </c>
      <c r="B155" s="9">
        <f t="shared" si="52"/>
        <v>43191</v>
      </c>
      <c r="C155" s="126">
        <f t="shared" si="60"/>
        <v>43223</v>
      </c>
      <c r="D155" s="126">
        <f t="shared" si="60"/>
        <v>43238</v>
      </c>
      <c r="E155" s="70" t="s">
        <v>56</v>
      </c>
      <c r="F155" s="3">
        <v>9</v>
      </c>
      <c r="G155" s="196">
        <v>86</v>
      </c>
      <c r="H155" s="127">
        <f t="shared" si="50"/>
        <v>809.3</v>
      </c>
      <c r="I155" s="127">
        <f t="shared" si="51"/>
        <v>624.94</v>
      </c>
      <c r="J155" s="28">
        <f t="shared" si="53"/>
        <v>53744.840000000004</v>
      </c>
      <c r="K155" s="29">
        <f t="shared" si="47"/>
        <v>69599.8</v>
      </c>
      <c r="L155" s="30">
        <f aca="true" t="shared" si="61" ref="L155:L165">+J155-K155</f>
        <v>-15854.96</v>
      </c>
      <c r="M155" s="27">
        <f t="shared" si="54"/>
        <v>-782.1806695365578</v>
      </c>
      <c r="N155" s="19">
        <f t="shared" si="55"/>
        <v>-16637.14066953656</v>
      </c>
      <c r="O155" s="27">
        <f t="shared" si="56"/>
        <v>730.81</v>
      </c>
      <c r="P155" s="27">
        <f t="shared" si="57"/>
        <v>62849.659999999996</v>
      </c>
      <c r="Q155" s="27">
        <f t="shared" si="58"/>
        <v>-6750.140000000007</v>
      </c>
      <c r="R155" s="19">
        <f t="shared" si="59"/>
        <v>-9887.000669536552</v>
      </c>
    </row>
    <row r="156" spans="1:18" ht="12.75">
      <c r="A156" s="3">
        <v>5</v>
      </c>
      <c r="B156" s="9">
        <f t="shared" si="52"/>
        <v>43221</v>
      </c>
      <c r="C156" s="126">
        <f t="shared" si="60"/>
        <v>43256</v>
      </c>
      <c r="D156" s="126">
        <f t="shared" si="60"/>
        <v>43271</v>
      </c>
      <c r="E156" s="70" t="s">
        <v>56</v>
      </c>
      <c r="F156" s="3">
        <v>9</v>
      </c>
      <c r="G156" s="196">
        <v>139</v>
      </c>
      <c r="H156" s="127">
        <f t="shared" si="50"/>
        <v>809.3</v>
      </c>
      <c r="I156" s="127">
        <f t="shared" si="51"/>
        <v>624.94</v>
      </c>
      <c r="J156" s="28">
        <f t="shared" si="53"/>
        <v>86866.66</v>
      </c>
      <c r="K156" s="29">
        <f t="shared" si="47"/>
        <v>112492.7</v>
      </c>
      <c r="L156" s="30">
        <f t="shared" si="61"/>
        <v>-25626.039999999994</v>
      </c>
      <c r="M156" s="27">
        <f t="shared" si="54"/>
        <v>-1264.2222449486226</v>
      </c>
      <c r="N156" s="19">
        <f t="shared" si="55"/>
        <v>-26890.262244948615</v>
      </c>
      <c r="O156" s="27">
        <f t="shared" si="56"/>
        <v>730.81</v>
      </c>
      <c r="P156" s="27">
        <f t="shared" si="57"/>
        <v>101582.59</v>
      </c>
      <c r="Q156" s="27">
        <f t="shared" si="58"/>
        <v>-10910.11</v>
      </c>
      <c r="R156" s="19">
        <f t="shared" si="59"/>
        <v>-15980.152244948615</v>
      </c>
    </row>
    <row r="157" spans="1:18" ht="12.75">
      <c r="A157" s="3">
        <v>6</v>
      </c>
      <c r="B157" s="9">
        <f t="shared" si="52"/>
        <v>43252</v>
      </c>
      <c r="C157" s="126">
        <f t="shared" si="60"/>
        <v>43286</v>
      </c>
      <c r="D157" s="126">
        <f t="shared" si="60"/>
        <v>43301</v>
      </c>
      <c r="E157" s="70" t="s">
        <v>56</v>
      </c>
      <c r="F157" s="3">
        <v>9</v>
      </c>
      <c r="G157" s="196">
        <v>158</v>
      </c>
      <c r="H157" s="127">
        <f t="shared" si="50"/>
        <v>809.3</v>
      </c>
      <c r="I157" s="127">
        <f t="shared" si="51"/>
        <v>624.94</v>
      </c>
      <c r="J157" s="28">
        <f t="shared" si="53"/>
        <v>98740.52</v>
      </c>
      <c r="K157" s="29">
        <f t="shared" si="47"/>
        <v>127869.4</v>
      </c>
      <c r="L157" s="39">
        <f t="shared" si="61"/>
        <v>-29128.87999999999</v>
      </c>
      <c r="M157" s="27">
        <f t="shared" si="54"/>
        <v>-1437.0296021718157</v>
      </c>
      <c r="N157" s="19">
        <f t="shared" si="55"/>
        <v>-30565.909602171807</v>
      </c>
      <c r="O157" s="27">
        <f t="shared" si="56"/>
        <v>730.81</v>
      </c>
      <c r="P157" s="27">
        <f t="shared" si="57"/>
        <v>115467.98</v>
      </c>
      <c r="Q157" s="27">
        <f t="shared" si="58"/>
        <v>-12401.419999999998</v>
      </c>
      <c r="R157" s="19">
        <f t="shared" si="59"/>
        <v>-18164.48960217181</v>
      </c>
    </row>
    <row r="158" spans="1:18" ht="12.75">
      <c r="A158" s="10">
        <v>7</v>
      </c>
      <c r="B158" s="9">
        <f t="shared" si="52"/>
        <v>43282</v>
      </c>
      <c r="C158" s="126">
        <f t="shared" si="60"/>
        <v>43315</v>
      </c>
      <c r="D158" s="126">
        <f t="shared" si="60"/>
        <v>43330</v>
      </c>
      <c r="E158" s="70" t="s">
        <v>56</v>
      </c>
      <c r="F158" s="3">
        <v>9</v>
      </c>
      <c r="G158" s="196">
        <v>162</v>
      </c>
      <c r="H158" s="127">
        <f t="shared" si="50"/>
        <v>809.3</v>
      </c>
      <c r="I158" s="127">
        <f t="shared" si="51"/>
        <v>624.94</v>
      </c>
      <c r="J158" s="28">
        <f t="shared" si="53"/>
        <v>101240.28000000001</v>
      </c>
      <c r="K158" s="37">
        <f t="shared" si="47"/>
        <v>131106.6</v>
      </c>
      <c r="L158" s="39">
        <f t="shared" si="61"/>
        <v>-29866.319999999992</v>
      </c>
      <c r="M158" s="27">
        <f t="shared" si="54"/>
        <v>-1473.41009842933</v>
      </c>
      <c r="N158" s="19">
        <f t="shared" si="55"/>
        <v>-31339.73009842932</v>
      </c>
      <c r="O158" s="27">
        <f t="shared" si="56"/>
        <v>730.81</v>
      </c>
      <c r="P158" s="27">
        <f t="shared" si="57"/>
        <v>118391.21999999999</v>
      </c>
      <c r="Q158" s="27">
        <f t="shared" si="58"/>
        <v>-12715.38000000002</v>
      </c>
      <c r="R158" s="19">
        <f t="shared" si="59"/>
        <v>-18624.350098429302</v>
      </c>
    </row>
    <row r="159" spans="1:19" ht="12.75">
      <c r="A159" s="3">
        <v>8</v>
      </c>
      <c r="B159" s="9">
        <f t="shared" si="52"/>
        <v>43313</v>
      </c>
      <c r="C159" s="126">
        <f t="shared" si="60"/>
        <v>43348</v>
      </c>
      <c r="D159" s="126">
        <f t="shared" si="60"/>
        <v>43363</v>
      </c>
      <c r="E159" s="70" t="s">
        <v>56</v>
      </c>
      <c r="F159" s="10">
        <v>9</v>
      </c>
      <c r="G159" s="196">
        <v>144</v>
      </c>
      <c r="H159" s="127">
        <f t="shared" si="50"/>
        <v>809.3</v>
      </c>
      <c r="I159" s="127">
        <f t="shared" si="51"/>
        <v>624.94</v>
      </c>
      <c r="J159" s="28">
        <f t="shared" si="53"/>
        <v>89991.36000000002</v>
      </c>
      <c r="K159" s="37">
        <f t="shared" si="47"/>
        <v>116539.2</v>
      </c>
      <c r="L159" s="39">
        <f t="shared" si="61"/>
        <v>-26547.839999999982</v>
      </c>
      <c r="M159" s="27">
        <f t="shared" si="54"/>
        <v>-1309.6978652705154</v>
      </c>
      <c r="N159" s="19">
        <f t="shared" si="55"/>
        <v>-27857.537865270497</v>
      </c>
      <c r="O159" s="27">
        <f t="shared" si="56"/>
        <v>730.81</v>
      </c>
      <c r="P159" s="27">
        <f t="shared" si="57"/>
        <v>105236.63999999998</v>
      </c>
      <c r="Q159" s="27">
        <f t="shared" si="58"/>
        <v>-11302.560000000012</v>
      </c>
      <c r="R159" s="19">
        <f t="shared" si="59"/>
        <v>-16554.977865270484</v>
      </c>
      <c r="S159" s="8"/>
    </row>
    <row r="160" spans="1:18" ht="12.75">
      <c r="A160" s="3">
        <v>9</v>
      </c>
      <c r="B160" s="9">
        <f t="shared" si="52"/>
        <v>43344</v>
      </c>
      <c r="C160" s="126">
        <f t="shared" si="60"/>
        <v>43376</v>
      </c>
      <c r="D160" s="126">
        <f t="shared" si="60"/>
        <v>43391</v>
      </c>
      <c r="E160" s="70" t="s">
        <v>56</v>
      </c>
      <c r="F160" s="10">
        <v>9</v>
      </c>
      <c r="G160" s="196">
        <v>150</v>
      </c>
      <c r="H160" s="127">
        <f t="shared" si="50"/>
        <v>809.3</v>
      </c>
      <c r="I160" s="127">
        <f t="shared" si="51"/>
        <v>624.94</v>
      </c>
      <c r="J160" s="28">
        <f t="shared" si="53"/>
        <v>93741.00000000001</v>
      </c>
      <c r="K160" s="37">
        <f t="shared" si="47"/>
        <v>121395</v>
      </c>
      <c r="L160" s="39">
        <f t="shared" si="61"/>
        <v>-27653.999999999985</v>
      </c>
      <c r="M160" s="27">
        <f t="shared" si="54"/>
        <v>-1364.268609656787</v>
      </c>
      <c r="N160" s="19">
        <f t="shared" si="55"/>
        <v>-29018.268609656774</v>
      </c>
      <c r="O160" s="27">
        <f t="shared" si="56"/>
        <v>730.81</v>
      </c>
      <c r="P160" s="27">
        <f t="shared" si="57"/>
        <v>109621.49999999999</v>
      </c>
      <c r="Q160" s="27">
        <f t="shared" si="58"/>
        <v>-11773.500000000015</v>
      </c>
      <c r="R160" s="19">
        <f t="shared" si="59"/>
        <v>-17244.76860965676</v>
      </c>
    </row>
    <row r="161" spans="1:18" ht="12.75">
      <c r="A161" s="10">
        <v>10</v>
      </c>
      <c r="B161" s="9">
        <f t="shared" si="52"/>
        <v>43374</v>
      </c>
      <c r="C161" s="126">
        <f t="shared" si="60"/>
        <v>43409</v>
      </c>
      <c r="D161" s="126">
        <f t="shared" si="60"/>
        <v>43424</v>
      </c>
      <c r="E161" s="70" t="s">
        <v>56</v>
      </c>
      <c r="F161" s="10">
        <v>9</v>
      </c>
      <c r="G161" s="196">
        <v>123</v>
      </c>
      <c r="H161" s="127">
        <f t="shared" si="50"/>
        <v>809.3</v>
      </c>
      <c r="I161" s="127">
        <f t="shared" si="51"/>
        <v>624.94</v>
      </c>
      <c r="J161" s="28">
        <f t="shared" si="53"/>
        <v>76867.62000000001</v>
      </c>
      <c r="K161" s="37">
        <f t="shared" si="47"/>
        <v>99543.9</v>
      </c>
      <c r="L161" s="39">
        <f t="shared" si="61"/>
        <v>-22676.279999999984</v>
      </c>
      <c r="M161" s="27">
        <f t="shared" si="54"/>
        <v>-1118.7002599185653</v>
      </c>
      <c r="N161" s="19">
        <f t="shared" si="55"/>
        <v>-23794.98025991855</v>
      </c>
      <c r="O161" s="27">
        <f t="shared" si="56"/>
        <v>730.81</v>
      </c>
      <c r="P161" s="27">
        <f t="shared" si="57"/>
        <v>89889.62999999999</v>
      </c>
      <c r="Q161" s="27">
        <f t="shared" si="58"/>
        <v>-9654.270000000004</v>
      </c>
      <c r="R161" s="19">
        <f t="shared" si="59"/>
        <v>-14140.710259918545</v>
      </c>
    </row>
    <row r="162" spans="1:18" ht="12.75">
      <c r="A162" s="3">
        <v>11</v>
      </c>
      <c r="B162" s="9">
        <f t="shared" si="52"/>
        <v>43405</v>
      </c>
      <c r="C162" s="126">
        <f t="shared" si="60"/>
        <v>43439</v>
      </c>
      <c r="D162" s="126">
        <f t="shared" si="60"/>
        <v>43454</v>
      </c>
      <c r="E162" s="70" t="s">
        <v>56</v>
      </c>
      <c r="F162" s="10">
        <v>9</v>
      </c>
      <c r="G162" s="196">
        <v>102</v>
      </c>
      <c r="H162" s="127">
        <f t="shared" si="50"/>
        <v>809.3</v>
      </c>
      <c r="I162" s="127">
        <f t="shared" si="51"/>
        <v>624.94</v>
      </c>
      <c r="J162" s="28">
        <f t="shared" si="53"/>
        <v>63743.880000000005</v>
      </c>
      <c r="K162" s="37">
        <f t="shared" si="47"/>
        <v>82548.59999999999</v>
      </c>
      <c r="L162" s="39">
        <f t="shared" si="61"/>
        <v>-18804.719999999987</v>
      </c>
      <c r="M162" s="27">
        <f t="shared" si="54"/>
        <v>-927.7026545666151</v>
      </c>
      <c r="N162" s="19">
        <f t="shared" si="55"/>
        <v>-19732.422654566602</v>
      </c>
      <c r="O162" s="27">
        <f t="shared" si="56"/>
        <v>730.81</v>
      </c>
      <c r="P162" s="27">
        <f t="shared" si="57"/>
        <v>74542.62</v>
      </c>
      <c r="Q162" s="27">
        <f t="shared" si="58"/>
        <v>-8005.979999999996</v>
      </c>
      <c r="R162" s="19">
        <f t="shared" si="59"/>
        <v>-11726.442654566607</v>
      </c>
    </row>
    <row r="163" spans="1:18" s="34" customFormat="1" ht="12.75">
      <c r="A163" s="3">
        <v>12</v>
      </c>
      <c r="B163" s="44">
        <f t="shared" si="52"/>
        <v>43435</v>
      </c>
      <c r="C163" s="126">
        <f t="shared" si="60"/>
        <v>43468</v>
      </c>
      <c r="D163" s="126">
        <f t="shared" si="60"/>
        <v>43483</v>
      </c>
      <c r="E163" s="71" t="s">
        <v>56</v>
      </c>
      <c r="F163" s="42">
        <v>9</v>
      </c>
      <c r="G163" s="197">
        <v>103</v>
      </c>
      <c r="H163" s="127">
        <f t="shared" si="50"/>
        <v>809.3</v>
      </c>
      <c r="I163" s="128">
        <f t="shared" si="51"/>
        <v>624.94</v>
      </c>
      <c r="J163" s="46">
        <f t="shared" si="53"/>
        <v>64368.82000000001</v>
      </c>
      <c r="K163" s="47">
        <f t="shared" si="47"/>
        <v>83357.9</v>
      </c>
      <c r="L163" s="48">
        <f t="shared" si="61"/>
        <v>-18989.079999999987</v>
      </c>
      <c r="M163" s="27">
        <f t="shared" si="54"/>
        <v>-936.7977786309937</v>
      </c>
      <c r="N163" s="19">
        <f t="shared" si="55"/>
        <v>-19925.87777863098</v>
      </c>
      <c r="O163" s="27">
        <f t="shared" si="56"/>
        <v>730.81</v>
      </c>
      <c r="P163" s="27">
        <f t="shared" si="57"/>
        <v>75273.43</v>
      </c>
      <c r="Q163" s="27">
        <f t="shared" si="58"/>
        <v>-8084.470000000001</v>
      </c>
      <c r="R163" s="19">
        <f t="shared" si="59"/>
        <v>-11841.407778630979</v>
      </c>
    </row>
    <row r="164" spans="1:18" ht="12.75">
      <c r="A164" s="10">
        <v>1</v>
      </c>
      <c r="B164" s="9">
        <f t="shared" si="52"/>
        <v>43101</v>
      </c>
      <c r="C164" s="125">
        <f t="shared" si="60"/>
        <v>43136</v>
      </c>
      <c r="D164" s="125">
        <f t="shared" si="60"/>
        <v>43151</v>
      </c>
      <c r="E164" s="59" t="s">
        <v>57</v>
      </c>
      <c r="F164" s="10">
        <v>9</v>
      </c>
      <c r="G164" s="196">
        <v>9</v>
      </c>
      <c r="H164" s="127">
        <f t="shared" si="50"/>
        <v>809.3</v>
      </c>
      <c r="I164" s="127">
        <f t="shared" si="51"/>
        <v>624.94</v>
      </c>
      <c r="J164" s="28">
        <f t="shared" si="53"/>
        <v>5624.460000000001</v>
      </c>
      <c r="K164" s="29">
        <f t="shared" si="47"/>
        <v>7283.7</v>
      </c>
      <c r="L164" s="30">
        <f t="shared" si="61"/>
        <v>-1659.2399999999989</v>
      </c>
      <c r="M164" s="27">
        <f t="shared" si="54"/>
        <v>-81.85611657940721</v>
      </c>
      <c r="N164" s="19">
        <f t="shared" si="55"/>
        <v>-1741.096116579406</v>
      </c>
      <c r="O164" s="27">
        <f t="shared" si="56"/>
        <v>730.81</v>
      </c>
      <c r="P164" s="27">
        <f t="shared" si="57"/>
        <v>6577.289999999999</v>
      </c>
      <c r="Q164" s="27">
        <f t="shared" si="58"/>
        <v>-706.4100000000008</v>
      </c>
      <c r="R164" s="19">
        <f t="shared" si="59"/>
        <v>-1034.6861165794053</v>
      </c>
    </row>
    <row r="165" spans="1:18" ht="12.75">
      <c r="A165" s="3">
        <v>2</v>
      </c>
      <c r="B165" s="9">
        <f t="shared" si="52"/>
        <v>43132</v>
      </c>
      <c r="C165" s="126">
        <f t="shared" si="60"/>
        <v>43164</v>
      </c>
      <c r="D165" s="126">
        <f t="shared" si="60"/>
        <v>43179</v>
      </c>
      <c r="E165" s="70" t="s">
        <v>57</v>
      </c>
      <c r="F165" s="3">
        <v>9</v>
      </c>
      <c r="G165" s="196">
        <v>9</v>
      </c>
      <c r="H165" s="127">
        <f t="shared" si="50"/>
        <v>809.3</v>
      </c>
      <c r="I165" s="127">
        <f t="shared" si="51"/>
        <v>624.94</v>
      </c>
      <c r="J165" s="28">
        <f t="shared" si="53"/>
        <v>5624.460000000001</v>
      </c>
      <c r="K165" s="29">
        <f t="shared" si="47"/>
        <v>7283.7</v>
      </c>
      <c r="L165" s="30">
        <f t="shared" si="61"/>
        <v>-1659.2399999999989</v>
      </c>
      <c r="M165" s="27">
        <f t="shared" si="54"/>
        <v>-81.85611657940721</v>
      </c>
      <c r="N165" s="19">
        <f t="shared" si="55"/>
        <v>-1741.096116579406</v>
      </c>
      <c r="O165" s="27">
        <f t="shared" si="56"/>
        <v>730.81</v>
      </c>
      <c r="P165" s="27">
        <f t="shared" si="57"/>
        <v>6577.289999999999</v>
      </c>
      <c r="Q165" s="27">
        <f t="shared" si="58"/>
        <v>-706.4100000000008</v>
      </c>
      <c r="R165" s="19">
        <f t="shared" si="59"/>
        <v>-1034.6861165794053</v>
      </c>
    </row>
    <row r="166" spans="1:18" ht="12.75">
      <c r="A166" s="3">
        <v>3</v>
      </c>
      <c r="B166" s="9">
        <f t="shared" si="52"/>
        <v>43160</v>
      </c>
      <c r="C166" s="126">
        <f t="shared" si="60"/>
        <v>43194</v>
      </c>
      <c r="D166" s="126">
        <f t="shared" si="60"/>
        <v>43209</v>
      </c>
      <c r="E166" s="70" t="s">
        <v>57</v>
      </c>
      <c r="F166" s="3">
        <v>9</v>
      </c>
      <c r="G166" s="196">
        <v>9</v>
      </c>
      <c r="H166" s="127">
        <f t="shared" si="50"/>
        <v>809.3</v>
      </c>
      <c r="I166" s="127">
        <f t="shared" si="51"/>
        <v>624.94</v>
      </c>
      <c r="J166" s="28">
        <f t="shared" si="53"/>
        <v>5624.460000000001</v>
      </c>
      <c r="K166" s="29">
        <f t="shared" si="47"/>
        <v>7283.7</v>
      </c>
      <c r="L166" s="30">
        <f>+J166-K166</f>
        <v>-1659.2399999999989</v>
      </c>
      <c r="M166" s="27">
        <f t="shared" si="54"/>
        <v>-81.85611657940721</v>
      </c>
      <c r="N166" s="19">
        <f t="shared" si="55"/>
        <v>-1741.096116579406</v>
      </c>
      <c r="O166" s="27">
        <f t="shared" si="56"/>
        <v>730.81</v>
      </c>
      <c r="P166" s="27">
        <f t="shared" si="57"/>
        <v>6577.289999999999</v>
      </c>
      <c r="Q166" s="27">
        <f t="shared" si="58"/>
        <v>-706.4100000000008</v>
      </c>
      <c r="R166" s="19">
        <f t="shared" si="59"/>
        <v>-1034.6861165794053</v>
      </c>
    </row>
    <row r="167" spans="1:18" ht="12.75">
      <c r="A167" s="10">
        <v>4</v>
      </c>
      <c r="B167" s="9">
        <f t="shared" si="52"/>
        <v>43191</v>
      </c>
      <c r="C167" s="126">
        <f t="shared" si="60"/>
        <v>43223</v>
      </c>
      <c r="D167" s="126">
        <f t="shared" si="60"/>
        <v>43238</v>
      </c>
      <c r="E167" s="70" t="s">
        <v>57</v>
      </c>
      <c r="F167" s="3">
        <v>9</v>
      </c>
      <c r="G167" s="196">
        <v>10</v>
      </c>
      <c r="H167" s="127">
        <f t="shared" si="50"/>
        <v>809.3</v>
      </c>
      <c r="I167" s="127">
        <f t="shared" si="51"/>
        <v>624.94</v>
      </c>
      <c r="J167" s="28">
        <f t="shared" si="53"/>
        <v>6249.400000000001</v>
      </c>
      <c r="K167" s="29">
        <f t="shared" si="47"/>
        <v>8093</v>
      </c>
      <c r="L167" s="30">
        <f aca="true" t="shared" si="62" ref="L167:L177">+J167-K167</f>
        <v>-1843.5999999999995</v>
      </c>
      <c r="M167" s="27">
        <f t="shared" si="54"/>
        <v>-90.9512406437858</v>
      </c>
      <c r="N167" s="19">
        <f t="shared" si="55"/>
        <v>-1934.5512406437851</v>
      </c>
      <c r="O167" s="27">
        <f t="shared" si="56"/>
        <v>730.81</v>
      </c>
      <c r="P167" s="27">
        <f t="shared" si="57"/>
        <v>7308.099999999999</v>
      </c>
      <c r="Q167" s="27">
        <f t="shared" si="58"/>
        <v>-784.9000000000005</v>
      </c>
      <c r="R167" s="19">
        <f t="shared" si="59"/>
        <v>-1149.6512406437846</v>
      </c>
    </row>
    <row r="168" spans="1:18" ht="12.75">
      <c r="A168" s="3">
        <v>5</v>
      </c>
      <c r="B168" s="9">
        <f t="shared" si="52"/>
        <v>43221</v>
      </c>
      <c r="C168" s="126">
        <f t="shared" si="60"/>
        <v>43256</v>
      </c>
      <c r="D168" s="126">
        <f t="shared" si="60"/>
        <v>43271</v>
      </c>
      <c r="E168" s="70" t="s">
        <v>57</v>
      </c>
      <c r="F168" s="3">
        <v>9</v>
      </c>
      <c r="G168" s="196">
        <v>9</v>
      </c>
      <c r="H168" s="127">
        <f t="shared" si="50"/>
        <v>809.3</v>
      </c>
      <c r="I168" s="127">
        <f t="shared" si="51"/>
        <v>624.94</v>
      </c>
      <c r="J168" s="28">
        <f t="shared" si="53"/>
        <v>5624.460000000001</v>
      </c>
      <c r="K168" s="29">
        <f t="shared" si="47"/>
        <v>7283.7</v>
      </c>
      <c r="L168" s="30">
        <f t="shared" si="62"/>
        <v>-1659.2399999999989</v>
      </c>
      <c r="M168" s="27">
        <f t="shared" si="54"/>
        <v>-81.85611657940721</v>
      </c>
      <c r="N168" s="19">
        <f t="shared" si="55"/>
        <v>-1741.096116579406</v>
      </c>
      <c r="O168" s="27">
        <f t="shared" si="56"/>
        <v>730.81</v>
      </c>
      <c r="P168" s="27">
        <f t="shared" si="57"/>
        <v>6577.289999999999</v>
      </c>
      <c r="Q168" s="27">
        <f t="shared" si="58"/>
        <v>-706.4100000000008</v>
      </c>
      <c r="R168" s="19">
        <f t="shared" si="59"/>
        <v>-1034.6861165794053</v>
      </c>
    </row>
    <row r="169" spans="1:18" ht="12.75">
      <c r="A169" s="3">
        <v>6</v>
      </c>
      <c r="B169" s="9">
        <f t="shared" si="52"/>
        <v>43252</v>
      </c>
      <c r="C169" s="126">
        <f t="shared" si="60"/>
        <v>43286</v>
      </c>
      <c r="D169" s="126">
        <f t="shared" si="60"/>
        <v>43301</v>
      </c>
      <c r="E169" s="70" t="s">
        <v>57</v>
      </c>
      <c r="F169" s="3">
        <v>9</v>
      </c>
      <c r="G169" s="196">
        <v>14</v>
      </c>
      <c r="H169" s="127">
        <f t="shared" si="50"/>
        <v>809.3</v>
      </c>
      <c r="I169" s="127">
        <f t="shared" si="51"/>
        <v>624.94</v>
      </c>
      <c r="J169" s="28">
        <f t="shared" si="53"/>
        <v>8749.16</v>
      </c>
      <c r="K169" s="29">
        <f t="shared" si="47"/>
        <v>11330.199999999999</v>
      </c>
      <c r="L169" s="39">
        <f t="shared" si="62"/>
        <v>-2581.039999999999</v>
      </c>
      <c r="M169" s="27">
        <f t="shared" si="54"/>
        <v>-127.33173690130012</v>
      </c>
      <c r="N169" s="19">
        <f t="shared" si="55"/>
        <v>-2708.3717369012993</v>
      </c>
      <c r="O169" s="27">
        <f t="shared" si="56"/>
        <v>730.81</v>
      </c>
      <c r="P169" s="27">
        <f t="shared" si="57"/>
        <v>10231.34</v>
      </c>
      <c r="Q169" s="27">
        <f t="shared" si="58"/>
        <v>-1098.8599999999988</v>
      </c>
      <c r="R169" s="19">
        <f t="shared" si="59"/>
        <v>-1609.5117369013005</v>
      </c>
    </row>
    <row r="170" spans="1:18" ht="12.75">
      <c r="A170" s="10">
        <v>7</v>
      </c>
      <c r="B170" s="9">
        <f t="shared" si="52"/>
        <v>43282</v>
      </c>
      <c r="C170" s="126">
        <f t="shared" si="60"/>
        <v>43315</v>
      </c>
      <c r="D170" s="126">
        <f t="shared" si="60"/>
        <v>43330</v>
      </c>
      <c r="E170" s="70" t="s">
        <v>57</v>
      </c>
      <c r="F170" s="3">
        <v>9</v>
      </c>
      <c r="G170" s="196">
        <v>15</v>
      </c>
      <c r="H170" s="127">
        <f t="shared" si="50"/>
        <v>809.3</v>
      </c>
      <c r="I170" s="127">
        <f t="shared" si="51"/>
        <v>624.94</v>
      </c>
      <c r="J170" s="28">
        <f t="shared" si="53"/>
        <v>9374.1</v>
      </c>
      <c r="K170" s="37">
        <f t="shared" si="47"/>
        <v>12139.5</v>
      </c>
      <c r="L170" s="39">
        <f t="shared" si="62"/>
        <v>-2765.3999999999996</v>
      </c>
      <c r="M170" s="27">
        <f t="shared" si="54"/>
        <v>-136.4268609656787</v>
      </c>
      <c r="N170" s="19">
        <f t="shared" si="55"/>
        <v>-2901.8268609656784</v>
      </c>
      <c r="O170" s="27">
        <f t="shared" si="56"/>
        <v>730.81</v>
      </c>
      <c r="P170" s="27">
        <f t="shared" si="57"/>
        <v>10962.15</v>
      </c>
      <c r="Q170" s="27">
        <f t="shared" si="58"/>
        <v>-1177.3500000000004</v>
      </c>
      <c r="R170" s="19">
        <f t="shared" si="59"/>
        <v>-1724.476860965678</v>
      </c>
    </row>
    <row r="171" spans="1:19" ht="12.75">
      <c r="A171" s="3">
        <v>8</v>
      </c>
      <c r="B171" s="9">
        <f t="shared" si="52"/>
        <v>43313</v>
      </c>
      <c r="C171" s="126">
        <f t="shared" si="60"/>
        <v>43348</v>
      </c>
      <c r="D171" s="126">
        <f t="shared" si="60"/>
        <v>43363</v>
      </c>
      <c r="E171" s="70" t="s">
        <v>57</v>
      </c>
      <c r="F171" s="10">
        <v>9</v>
      </c>
      <c r="G171" s="196">
        <v>14</v>
      </c>
      <c r="H171" s="127">
        <f t="shared" si="50"/>
        <v>809.3</v>
      </c>
      <c r="I171" s="127">
        <f t="shared" si="51"/>
        <v>624.94</v>
      </c>
      <c r="J171" s="28">
        <f t="shared" si="53"/>
        <v>8749.16</v>
      </c>
      <c r="K171" s="37">
        <f t="shared" si="47"/>
        <v>11330.199999999999</v>
      </c>
      <c r="L171" s="39">
        <f t="shared" si="62"/>
        <v>-2581.039999999999</v>
      </c>
      <c r="M171" s="27">
        <f t="shared" si="54"/>
        <v>-127.33173690130012</v>
      </c>
      <c r="N171" s="19">
        <f t="shared" si="55"/>
        <v>-2708.3717369012993</v>
      </c>
      <c r="O171" s="27">
        <f t="shared" si="56"/>
        <v>730.81</v>
      </c>
      <c r="P171" s="27">
        <f t="shared" si="57"/>
        <v>10231.34</v>
      </c>
      <c r="Q171" s="27">
        <f t="shared" si="58"/>
        <v>-1098.8599999999988</v>
      </c>
      <c r="R171" s="19">
        <f t="shared" si="59"/>
        <v>-1609.5117369013005</v>
      </c>
      <c r="S171" s="8"/>
    </row>
    <row r="172" spans="1:18" ht="12.75">
      <c r="A172" s="3">
        <v>9</v>
      </c>
      <c r="B172" s="9">
        <f t="shared" si="52"/>
        <v>43344</v>
      </c>
      <c r="C172" s="126">
        <f aca="true" t="shared" si="63" ref="C172:D175">+C160</f>
        <v>43376</v>
      </c>
      <c r="D172" s="126">
        <f t="shared" si="63"/>
        <v>43391</v>
      </c>
      <c r="E172" s="70" t="s">
        <v>57</v>
      </c>
      <c r="F172" s="10">
        <v>9</v>
      </c>
      <c r="G172" s="196">
        <v>13</v>
      </c>
      <c r="H172" s="127">
        <f t="shared" si="50"/>
        <v>809.3</v>
      </c>
      <c r="I172" s="127">
        <f t="shared" si="51"/>
        <v>624.94</v>
      </c>
      <c r="J172" s="28">
        <f t="shared" si="53"/>
        <v>8124.220000000001</v>
      </c>
      <c r="K172" s="37">
        <f t="shared" si="47"/>
        <v>10520.9</v>
      </c>
      <c r="L172" s="39">
        <f t="shared" si="62"/>
        <v>-2396.6799999999985</v>
      </c>
      <c r="M172" s="27">
        <f t="shared" si="54"/>
        <v>-118.23661283692154</v>
      </c>
      <c r="N172" s="19">
        <f t="shared" si="55"/>
        <v>-2514.91661283692</v>
      </c>
      <c r="O172" s="27">
        <f t="shared" si="56"/>
        <v>730.81</v>
      </c>
      <c r="P172" s="27">
        <f t="shared" si="57"/>
        <v>9500.529999999999</v>
      </c>
      <c r="Q172" s="27">
        <f t="shared" si="58"/>
        <v>-1020.3700000000008</v>
      </c>
      <c r="R172" s="19">
        <f t="shared" si="59"/>
        <v>-1494.5466128369194</v>
      </c>
    </row>
    <row r="173" spans="1:18" ht="12.75">
      <c r="A173" s="10">
        <v>10</v>
      </c>
      <c r="B173" s="9">
        <f t="shared" si="52"/>
        <v>43374</v>
      </c>
      <c r="C173" s="126">
        <f t="shared" si="63"/>
        <v>43409</v>
      </c>
      <c r="D173" s="126">
        <f t="shared" si="63"/>
        <v>43424</v>
      </c>
      <c r="E173" s="70" t="s">
        <v>57</v>
      </c>
      <c r="F173" s="10">
        <v>9</v>
      </c>
      <c r="G173" s="196">
        <v>13</v>
      </c>
      <c r="H173" s="127">
        <f t="shared" si="50"/>
        <v>809.3</v>
      </c>
      <c r="I173" s="127">
        <f t="shared" si="51"/>
        <v>624.94</v>
      </c>
      <c r="J173" s="28">
        <f t="shared" si="53"/>
        <v>8124.220000000001</v>
      </c>
      <c r="K173" s="37">
        <f t="shared" si="47"/>
        <v>10520.9</v>
      </c>
      <c r="L173" s="39">
        <f t="shared" si="62"/>
        <v>-2396.6799999999985</v>
      </c>
      <c r="M173" s="27">
        <f t="shared" si="54"/>
        <v>-118.23661283692154</v>
      </c>
      <c r="N173" s="19">
        <f t="shared" si="55"/>
        <v>-2514.91661283692</v>
      </c>
      <c r="O173" s="27">
        <f t="shared" si="56"/>
        <v>730.81</v>
      </c>
      <c r="P173" s="27">
        <f t="shared" si="57"/>
        <v>9500.529999999999</v>
      </c>
      <c r="Q173" s="27">
        <f t="shared" si="58"/>
        <v>-1020.3700000000008</v>
      </c>
      <c r="R173" s="19">
        <f t="shared" si="59"/>
        <v>-1494.5466128369194</v>
      </c>
    </row>
    <row r="174" spans="1:18" ht="12.75">
      <c r="A174" s="3">
        <v>11</v>
      </c>
      <c r="B174" s="9">
        <f t="shared" si="52"/>
        <v>43405</v>
      </c>
      <c r="C174" s="126">
        <f t="shared" si="63"/>
        <v>43439</v>
      </c>
      <c r="D174" s="126">
        <f t="shared" si="63"/>
        <v>43454</v>
      </c>
      <c r="E174" s="70" t="s">
        <v>57</v>
      </c>
      <c r="F174" s="10">
        <v>9</v>
      </c>
      <c r="G174" s="196">
        <v>5</v>
      </c>
      <c r="H174" s="127">
        <f t="shared" si="50"/>
        <v>809.3</v>
      </c>
      <c r="I174" s="127">
        <f t="shared" si="51"/>
        <v>624.94</v>
      </c>
      <c r="J174" s="28">
        <f t="shared" si="53"/>
        <v>3124.7000000000003</v>
      </c>
      <c r="K174" s="37">
        <f t="shared" si="47"/>
        <v>4046.5</v>
      </c>
      <c r="L174" s="39">
        <f t="shared" si="62"/>
        <v>-921.7999999999997</v>
      </c>
      <c r="M174" s="27">
        <f t="shared" si="54"/>
        <v>-45.4756203218929</v>
      </c>
      <c r="N174" s="19">
        <f t="shared" si="55"/>
        <v>-967.2756203218926</v>
      </c>
      <c r="O174" s="27">
        <f t="shared" si="56"/>
        <v>730.81</v>
      </c>
      <c r="P174" s="27">
        <f t="shared" si="57"/>
        <v>3654.0499999999997</v>
      </c>
      <c r="Q174" s="27">
        <f t="shared" si="58"/>
        <v>-392.4500000000003</v>
      </c>
      <c r="R174" s="19">
        <f t="shared" si="59"/>
        <v>-574.8256203218923</v>
      </c>
    </row>
    <row r="175" spans="1:18" s="34" customFormat="1" ht="12.75">
      <c r="A175" s="3">
        <v>12</v>
      </c>
      <c r="B175" s="44">
        <f t="shared" si="52"/>
        <v>43435</v>
      </c>
      <c r="C175" s="126">
        <f t="shared" si="63"/>
        <v>43468</v>
      </c>
      <c r="D175" s="126">
        <f t="shared" si="63"/>
        <v>43483</v>
      </c>
      <c r="E175" s="71" t="s">
        <v>57</v>
      </c>
      <c r="F175" s="42">
        <v>9</v>
      </c>
      <c r="G175" s="197">
        <v>11</v>
      </c>
      <c r="H175" s="127">
        <f t="shared" si="50"/>
        <v>809.3</v>
      </c>
      <c r="I175" s="128">
        <f t="shared" si="51"/>
        <v>624.94</v>
      </c>
      <c r="J175" s="46">
        <f t="shared" si="53"/>
        <v>6874.34</v>
      </c>
      <c r="K175" s="47">
        <f t="shared" si="47"/>
        <v>8902.3</v>
      </c>
      <c r="L175" s="48">
        <f t="shared" si="62"/>
        <v>-2027.9599999999991</v>
      </c>
      <c r="M175" s="27">
        <f t="shared" si="54"/>
        <v>-100.04636470816438</v>
      </c>
      <c r="N175" s="19">
        <f t="shared" si="55"/>
        <v>-2128.0063647081633</v>
      </c>
      <c r="O175" s="27">
        <f t="shared" si="56"/>
        <v>730.81</v>
      </c>
      <c r="P175" s="27">
        <f t="shared" si="57"/>
        <v>8038.91</v>
      </c>
      <c r="Q175" s="27">
        <f t="shared" si="58"/>
        <v>-863.3899999999994</v>
      </c>
      <c r="R175" s="19">
        <f t="shared" si="59"/>
        <v>-1264.616364708164</v>
      </c>
    </row>
    <row r="176" spans="1:18" ht="12.75">
      <c r="A176" s="10">
        <v>1</v>
      </c>
      <c r="B176" s="9">
        <f t="shared" si="52"/>
        <v>43101</v>
      </c>
      <c r="C176" s="125">
        <f aca="true" t="shared" si="64" ref="C176:D187">+C152</f>
        <v>43136</v>
      </c>
      <c r="D176" s="125">
        <f t="shared" si="64"/>
        <v>43151</v>
      </c>
      <c r="E176" s="59" t="s">
        <v>58</v>
      </c>
      <c r="F176" s="3">
        <v>9</v>
      </c>
      <c r="G176" s="196">
        <v>25</v>
      </c>
      <c r="H176" s="127">
        <f t="shared" si="50"/>
        <v>809.3</v>
      </c>
      <c r="I176" s="127">
        <f t="shared" si="51"/>
        <v>624.94</v>
      </c>
      <c r="J176" s="28">
        <f t="shared" si="53"/>
        <v>15623.500000000002</v>
      </c>
      <c r="K176" s="29">
        <f t="shared" si="47"/>
        <v>20232.5</v>
      </c>
      <c r="L176" s="30">
        <f t="shared" si="62"/>
        <v>-4608.999999999998</v>
      </c>
      <c r="M176" s="27">
        <f t="shared" si="54"/>
        <v>-227.3781016094645</v>
      </c>
      <c r="N176" s="19">
        <f t="shared" si="55"/>
        <v>-4836.378101609463</v>
      </c>
      <c r="O176" s="27">
        <f t="shared" si="56"/>
        <v>730.81</v>
      </c>
      <c r="P176" s="27">
        <f t="shared" si="57"/>
        <v>18270.25</v>
      </c>
      <c r="Q176" s="27">
        <f t="shared" si="58"/>
        <v>-1962.25</v>
      </c>
      <c r="R176" s="19">
        <f t="shared" si="59"/>
        <v>-2874.1281016094626</v>
      </c>
    </row>
    <row r="177" spans="1:18" ht="12.75">
      <c r="A177" s="3">
        <v>2</v>
      </c>
      <c r="B177" s="9">
        <f t="shared" si="52"/>
        <v>43132</v>
      </c>
      <c r="C177" s="126">
        <f t="shared" si="64"/>
        <v>43164</v>
      </c>
      <c r="D177" s="126">
        <f t="shared" si="64"/>
        <v>43179</v>
      </c>
      <c r="E177" s="20" t="s">
        <v>58</v>
      </c>
      <c r="F177" s="3">
        <v>9</v>
      </c>
      <c r="G177" s="196">
        <v>21</v>
      </c>
      <c r="H177" s="127">
        <f t="shared" si="50"/>
        <v>809.3</v>
      </c>
      <c r="I177" s="127">
        <f t="shared" si="51"/>
        <v>624.94</v>
      </c>
      <c r="J177" s="28">
        <f t="shared" si="53"/>
        <v>13123.740000000002</v>
      </c>
      <c r="K177" s="29">
        <f t="shared" si="47"/>
        <v>16995.3</v>
      </c>
      <c r="L177" s="30">
        <f t="shared" si="62"/>
        <v>-3871.5599999999977</v>
      </c>
      <c r="M177" s="27">
        <f t="shared" si="54"/>
        <v>-190.99760535195017</v>
      </c>
      <c r="N177" s="19">
        <f t="shared" si="55"/>
        <v>-4062.557605351948</v>
      </c>
      <c r="O177" s="27">
        <f t="shared" si="56"/>
        <v>730.81</v>
      </c>
      <c r="P177" s="27">
        <f t="shared" si="57"/>
        <v>15347.009999999998</v>
      </c>
      <c r="Q177" s="27">
        <f t="shared" si="58"/>
        <v>-1648.2900000000009</v>
      </c>
      <c r="R177" s="19">
        <f t="shared" si="59"/>
        <v>-2414.267605351947</v>
      </c>
    </row>
    <row r="178" spans="1:18" ht="12.75">
      <c r="A178" s="3">
        <v>3</v>
      </c>
      <c r="B178" s="9">
        <f t="shared" si="52"/>
        <v>43160</v>
      </c>
      <c r="C178" s="126">
        <f t="shared" si="64"/>
        <v>43194</v>
      </c>
      <c r="D178" s="126">
        <f t="shared" si="64"/>
        <v>43209</v>
      </c>
      <c r="E178" s="20" t="s">
        <v>58</v>
      </c>
      <c r="F178" s="3">
        <v>9</v>
      </c>
      <c r="G178" s="196">
        <v>18</v>
      </c>
      <c r="H178" s="127">
        <f t="shared" si="50"/>
        <v>809.3</v>
      </c>
      <c r="I178" s="127">
        <f t="shared" si="51"/>
        <v>624.94</v>
      </c>
      <c r="J178" s="28">
        <f t="shared" si="53"/>
        <v>11248.920000000002</v>
      </c>
      <c r="K178" s="29">
        <f t="shared" si="47"/>
        <v>14567.4</v>
      </c>
      <c r="L178" s="30">
        <f>+J178-K178</f>
        <v>-3318.4799999999977</v>
      </c>
      <c r="M178" s="27">
        <f t="shared" si="54"/>
        <v>-163.71223315881443</v>
      </c>
      <c r="N178" s="19">
        <f t="shared" si="55"/>
        <v>-3482.192233158812</v>
      </c>
      <c r="O178" s="27">
        <f t="shared" si="56"/>
        <v>730.81</v>
      </c>
      <c r="P178" s="27">
        <f t="shared" si="57"/>
        <v>13154.579999999998</v>
      </c>
      <c r="Q178" s="27">
        <f t="shared" si="58"/>
        <v>-1412.8200000000015</v>
      </c>
      <c r="R178" s="19">
        <f t="shared" si="59"/>
        <v>-2069.3722331588106</v>
      </c>
    </row>
    <row r="179" spans="1:18" ht="12.75">
      <c r="A179" s="10">
        <v>4</v>
      </c>
      <c r="B179" s="9">
        <f t="shared" si="52"/>
        <v>43191</v>
      </c>
      <c r="C179" s="126">
        <f t="shared" si="64"/>
        <v>43223</v>
      </c>
      <c r="D179" s="126">
        <f t="shared" si="64"/>
        <v>43238</v>
      </c>
      <c r="E179" s="20" t="s">
        <v>58</v>
      </c>
      <c r="F179" s="3">
        <v>9</v>
      </c>
      <c r="G179" s="196">
        <v>21</v>
      </c>
      <c r="H179" s="127">
        <f t="shared" si="50"/>
        <v>809.3</v>
      </c>
      <c r="I179" s="127">
        <f t="shared" si="51"/>
        <v>624.94</v>
      </c>
      <c r="J179" s="28">
        <f t="shared" si="53"/>
        <v>13123.740000000002</v>
      </c>
      <c r="K179" s="29">
        <f t="shared" si="47"/>
        <v>16995.3</v>
      </c>
      <c r="L179" s="30">
        <f aca="true" t="shared" si="65" ref="L179:L189">+J179-K179</f>
        <v>-3871.5599999999977</v>
      </c>
      <c r="M179" s="27">
        <f t="shared" si="54"/>
        <v>-190.99760535195017</v>
      </c>
      <c r="N179" s="19">
        <f t="shared" si="55"/>
        <v>-4062.557605351948</v>
      </c>
      <c r="O179" s="27">
        <f t="shared" si="56"/>
        <v>730.81</v>
      </c>
      <c r="P179" s="27">
        <f t="shared" si="57"/>
        <v>15347.009999999998</v>
      </c>
      <c r="Q179" s="27">
        <f t="shared" si="58"/>
        <v>-1648.2900000000009</v>
      </c>
      <c r="R179" s="19">
        <f t="shared" si="59"/>
        <v>-2414.267605351947</v>
      </c>
    </row>
    <row r="180" spans="1:18" ht="12.75">
      <c r="A180" s="3">
        <v>5</v>
      </c>
      <c r="B180" s="9">
        <f t="shared" si="52"/>
        <v>43221</v>
      </c>
      <c r="C180" s="126">
        <f t="shared" si="64"/>
        <v>43256</v>
      </c>
      <c r="D180" s="126">
        <f t="shared" si="64"/>
        <v>43271</v>
      </c>
      <c r="E180" s="20" t="s">
        <v>58</v>
      </c>
      <c r="F180" s="3">
        <v>9</v>
      </c>
      <c r="G180" s="196">
        <v>34</v>
      </c>
      <c r="H180" s="127">
        <f t="shared" si="50"/>
        <v>809.3</v>
      </c>
      <c r="I180" s="127">
        <f aca="true" t="shared" si="66" ref="I180:I211">$J$3</f>
        <v>624.94</v>
      </c>
      <c r="J180" s="28">
        <f t="shared" si="53"/>
        <v>21247.960000000003</v>
      </c>
      <c r="K180" s="29">
        <f t="shared" si="47"/>
        <v>27516.199999999997</v>
      </c>
      <c r="L180" s="30">
        <f t="shared" si="65"/>
        <v>-6268.239999999994</v>
      </c>
      <c r="M180" s="27">
        <f t="shared" si="54"/>
        <v>-309.2342181888717</v>
      </c>
      <c r="N180" s="19">
        <f t="shared" si="55"/>
        <v>-6577.474218188866</v>
      </c>
      <c r="O180" s="27">
        <f t="shared" si="56"/>
        <v>730.81</v>
      </c>
      <c r="P180" s="27">
        <f t="shared" si="57"/>
        <v>24847.539999999997</v>
      </c>
      <c r="Q180" s="27">
        <f t="shared" si="58"/>
        <v>-2668.66</v>
      </c>
      <c r="R180" s="19">
        <f t="shared" si="59"/>
        <v>-3908.814218188866</v>
      </c>
    </row>
    <row r="181" spans="1:18" ht="12.75">
      <c r="A181" s="3">
        <v>6</v>
      </c>
      <c r="B181" s="9">
        <f t="shared" si="52"/>
        <v>43252</v>
      </c>
      <c r="C181" s="126">
        <f t="shared" si="64"/>
        <v>43286</v>
      </c>
      <c r="D181" s="126">
        <f t="shared" si="64"/>
        <v>43301</v>
      </c>
      <c r="E181" s="20" t="s">
        <v>58</v>
      </c>
      <c r="F181" s="3">
        <v>9</v>
      </c>
      <c r="G181" s="196">
        <v>37</v>
      </c>
      <c r="H181" s="127">
        <f t="shared" si="50"/>
        <v>809.3</v>
      </c>
      <c r="I181" s="127">
        <f t="shared" si="66"/>
        <v>624.94</v>
      </c>
      <c r="J181" s="28">
        <f t="shared" si="53"/>
        <v>23122.780000000002</v>
      </c>
      <c r="K181" s="29">
        <f t="shared" si="47"/>
        <v>29944.1</v>
      </c>
      <c r="L181" s="39">
        <f t="shared" si="65"/>
        <v>-6821.319999999996</v>
      </c>
      <c r="M181" s="27">
        <f t="shared" si="54"/>
        <v>-336.51959038200744</v>
      </c>
      <c r="N181" s="19">
        <f t="shared" si="55"/>
        <v>-7157.839590382004</v>
      </c>
      <c r="O181" s="27">
        <f t="shared" si="56"/>
        <v>730.81</v>
      </c>
      <c r="P181" s="27">
        <f t="shared" si="57"/>
        <v>27039.969999999998</v>
      </c>
      <c r="Q181" s="27">
        <f t="shared" si="58"/>
        <v>-2904.130000000001</v>
      </c>
      <c r="R181" s="19">
        <f t="shared" si="59"/>
        <v>-4253.709590382003</v>
      </c>
    </row>
    <row r="182" spans="1:18" ht="12.75">
      <c r="A182" s="10">
        <v>7</v>
      </c>
      <c r="B182" s="9">
        <f t="shared" si="52"/>
        <v>43282</v>
      </c>
      <c r="C182" s="126">
        <f t="shared" si="64"/>
        <v>43315</v>
      </c>
      <c r="D182" s="126">
        <f t="shared" si="64"/>
        <v>43330</v>
      </c>
      <c r="E182" s="20" t="s">
        <v>58</v>
      </c>
      <c r="F182" s="3">
        <v>9</v>
      </c>
      <c r="G182" s="196">
        <v>38</v>
      </c>
      <c r="H182" s="127">
        <f t="shared" si="50"/>
        <v>809.3</v>
      </c>
      <c r="I182" s="127">
        <f t="shared" si="66"/>
        <v>624.94</v>
      </c>
      <c r="J182" s="28">
        <f t="shared" si="53"/>
        <v>23747.72</v>
      </c>
      <c r="K182" s="37">
        <f t="shared" si="47"/>
        <v>30753.399999999998</v>
      </c>
      <c r="L182" s="39">
        <f t="shared" si="65"/>
        <v>-7005.679999999997</v>
      </c>
      <c r="M182" s="27">
        <f t="shared" si="54"/>
        <v>-345.614714446386</v>
      </c>
      <c r="N182" s="19">
        <f t="shared" si="55"/>
        <v>-7351.294714446382</v>
      </c>
      <c r="O182" s="27">
        <f t="shared" si="56"/>
        <v>730.81</v>
      </c>
      <c r="P182" s="27">
        <f t="shared" si="57"/>
        <v>27770.78</v>
      </c>
      <c r="Q182" s="27">
        <f t="shared" si="58"/>
        <v>-2982.619999999999</v>
      </c>
      <c r="R182" s="19">
        <f t="shared" si="59"/>
        <v>-4368.674714446383</v>
      </c>
    </row>
    <row r="183" spans="1:18" ht="12.75">
      <c r="A183" s="3">
        <v>8</v>
      </c>
      <c r="B183" s="9">
        <f t="shared" si="52"/>
        <v>43313</v>
      </c>
      <c r="C183" s="126">
        <f t="shared" si="64"/>
        <v>43348</v>
      </c>
      <c r="D183" s="126">
        <f t="shared" si="64"/>
        <v>43363</v>
      </c>
      <c r="E183" s="20" t="s">
        <v>58</v>
      </c>
      <c r="F183" s="3">
        <v>9</v>
      </c>
      <c r="G183" s="196">
        <v>35</v>
      </c>
      <c r="H183" s="127">
        <f t="shared" si="50"/>
        <v>809.3</v>
      </c>
      <c r="I183" s="127">
        <f t="shared" si="66"/>
        <v>624.94</v>
      </c>
      <c r="J183" s="28">
        <f t="shared" si="53"/>
        <v>21872.9</v>
      </c>
      <c r="K183" s="37">
        <f t="shared" si="47"/>
        <v>28325.5</v>
      </c>
      <c r="L183" s="39">
        <f t="shared" si="65"/>
        <v>-6452.5999999999985</v>
      </c>
      <c r="M183" s="27">
        <f t="shared" si="54"/>
        <v>-318.3293422532503</v>
      </c>
      <c r="N183" s="19">
        <f t="shared" si="55"/>
        <v>-6770.929342253249</v>
      </c>
      <c r="O183" s="27">
        <f t="shared" si="56"/>
        <v>730.81</v>
      </c>
      <c r="P183" s="27">
        <f t="shared" si="57"/>
        <v>25578.35</v>
      </c>
      <c r="Q183" s="27">
        <f t="shared" si="58"/>
        <v>-2747.1500000000015</v>
      </c>
      <c r="R183" s="19">
        <f t="shared" si="59"/>
        <v>-4023.7793422532477</v>
      </c>
    </row>
    <row r="184" spans="1:18" ht="12.75">
      <c r="A184" s="3">
        <v>9</v>
      </c>
      <c r="B184" s="9">
        <f t="shared" si="52"/>
        <v>43344</v>
      </c>
      <c r="C184" s="126">
        <f t="shared" si="64"/>
        <v>43376</v>
      </c>
      <c r="D184" s="126">
        <f t="shared" si="64"/>
        <v>43391</v>
      </c>
      <c r="E184" s="20" t="s">
        <v>58</v>
      </c>
      <c r="F184" s="3">
        <v>9</v>
      </c>
      <c r="G184" s="196">
        <v>36</v>
      </c>
      <c r="H184" s="127">
        <f t="shared" si="50"/>
        <v>809.3</v>
      </c>
      <c r="I184" s="127">
        <f t="shared" si="66"/>
        <v>624.94</v>
      </c>
      <c r="J184" s="28">
        <f t="shared" si="53"/>
        <v>22497.840000000004</v>
      </c>
      <c r="K184" s="37">
        <f t="shared" si="47"/>
        <v>29134.8</v>
      </c>
      <c r="L184" s="39">
        <f t="shared" si="65"/>
        <v>-6636.9599999999955</v>
      </c>
      <c r="M184" s="27">
        <f t="shared" si="54"/>
        <v>-327.42446631762886</v>
      </c>
      <c r="N184" s="19">
        <f t="shared" si="55"/>
        <v>-6964.384466317624</v>
      </c>
      <c r="O184" s="27">
        <f t="shared" si="56"/>
        <v>730.81</v>
      </c>
      <c r="P184" s="27">
        <f t="shared" si="57"/>
        <v>26309.159999999996</v>
      </c>
      <c r="Q184" s="27">
        <f t="shared" si="58"/>
        <v>-2825.640000000003</v>
      </c>
      <c r="R184" s="19">
        <f t="shared" si="59"/>
        <v>-4138.744466317621</v>
      </c>
    </row>
    <row r="185" spans="1:18" ht="12.75">
      <c r="A185" s="10">
        <v>10</v>
      </c>
      <c r="B185" s="9">
        <f t="shared" si="52"/>
        <v>43374</v>
      </c>
      <c r="C185" s="126">
        <f t="shared" si="64"/>
        <v>43409</v>
      </c>
      <c r="D185" s="126">
        <f t="shared" si="64"/>
        <v>43424</v>
      </c>
      <c r="E185" s="20" t="s">
        <v>58</v>
      </c>
      <c r="F185" s="3">
        <v>9</v>
      </c>
      <c r="G185" s="196">
        <v>30</v>
      </c>
      <c r="H185" s="127">
        <f t="shared" si="50"/>
        <v>809.3</v>
      </c>
      <c r="I185" s="127">
        <f t="shared" si="66"/>
        <v>624.94</v>
      </c>
      <c r="J185" s="28">
        <f t="shared" si="53"/>
        <v>18748.2</v>
      </c>
      <c r="K185" s="37">
        <f t="shared" si="47"/>
        <v>24279</v>
      </c>
      <c r="L185" s="39">
        <f t="shared" si="65"/>
        <v>-5530.799999999999</v>
      </c>
      <c r="M185" s="27">
        <f t="shared" si="54"/>
        <v>-272.8537219313574</v>
      </c>
      <c r="N185" s="19">
        <f t="shared" si="55"/>
        <v>-5803.653721931357</v>
      </c>
      <c r="O185" s="27">
        <f t="shared" si="56"/>
        <v>730.81</v>
      </c>
      <c r="P185" s="27">
        <f t="shared" si="57"/>
        <v>21924.3</v>
      </c>
      <c r="Q185" s="27">
        <f t="shared" si="58"/>
        <v>-2354.7000000000007</v>
      </c>
      <c r="R185" s="19">
        <f t="shared" si="59"/>
        <v>-3448.953721931356</v>
      </c>
    </row>
    <row r="186" spans="1:18" ht="12.75">
      <c r="A186" s="3">
        <v>11</v>
      </c>
      <c r="B186" s="9">
        <f t="shared" si="52"/>
        <v>43405</v>
      </c>
      <c r="C186" s="126">
        <f t="shared" si="64"/>
        <v>43439</v>
      </c>
      <c r="D186" s="126">
        <f t="shared" si="64"/>
        <v>43454</v>
      </c>
      <c r="E186" s="20" t="s">
        <v>58</v>
      </c>
      <c r="F186" s="3">
        <v>9</v>
      </c>
      <c r="G186" s="196">
        <v>20</v>
      </c>
      <c r="H186" s="127">
        <f t="shared" si="50"/>
        <v>809.3</v>
      </c>
      <c r="I186" s="127">
        <f t="shared" si="66"/>
        <v>624.94</v>
      </c>
      <c r="J186" s="28">
        <f t="shared" si="53"/>
        <v>12498.800000000001</v>
      </c>
      <c r="K186" s="37">
        <f t="shared" si="47"/>
        <v>16186</v>
      </c>
      <c r="L186" s="39">
        <f t="shared" si="65"/>
        <v>-3687.199999999999</v>
      </c>
      <c r="M186" s="27">
        <f t="shared" si="54"/>
        <v>-181.9024812875716</v>
      </c>
      <c r="N186" s="19">
        <f t="shared" si="55"/>
        <v>-3869.1024812875703</v>
      </c>
      <c r="O186" s="27">
        <f t="shared" si="56"/>
        <v>730.81</v>
      </c>
      <c r="P186" s="27">
        <f t="shared" si="57"/>
        <v>14616.199999999999</v>
      </c>
      <c r="Q186" s="27">
        <f t="shared" si="58"/>
        <v>-1569.800000000001</v>
      </c>
      <c r="R186" s="19">
        <f t="shared" si="59"/>
        <v>-2299.302481287569</v>
      </c>
    </row>
    <row r="187" spans="1:18" s="34" customFormat="1" ht="12.75">
      <c r="A187" s="3">
        <v>12</v>
      </c>
      <c r="B187" s="44">
        <f t="shared" si="52"/>
        <v>43435</v>
      </c>
      <c r="C187" s="126">
        <f t="shared" si="64"/>
        <v>43468</v>
      </c>
      <c r="D187" s="126">
        <f t="shared" si="64"/>
        <v>43483</v>
      </c>
      <c r="E187" s="45" t="s">
        <v>58</v>
      </c>
      <c r="F187" s="42">
        <v>9</v>
      </c>
      <c r="G187" s="197">
        <v>21</v>
      </c>
      <c r="H187" s="127">
        <f t="shared" si="50"/>
        <v>809.3</v>
      </c>
      <c r="I187" s="128">
        <f t="shared" si="66"/>
        <v>624.94</v>
      </c>
      <c r="J187" s="46">
        <f t="shared" si="53"/>
        <v>13123.740000000002</v>
      </c>
      <c r="K187" s="47">
        <f t="shared" si="47"/>
        <v>16995.3</v>
      </c>
      <c r="L187" s="48">
        <f t="shared" si="65"/>
        <v>-3871.5599999999977</v>
      </c>
      <c r="M187" s="27">
        <f t="shared" si="54"/>
        <v>-190.99760535195017</v>
      </c>
      <c r="N187" s="19">
        <f t="shared" si="55"/>
        <v>-4062.557605351948</v>
      </c>
      <c r="O187" s="27">
        <f t="shared" si="56"/>
        <v>730.81</v>
      </c>
      <c r="P187" s="27">
        <f t="shared" si="57"/>
        <v>15347.009999999998</v>
      </c>
      <c r="Q187" s="27">
        <f t="shared" si="58"/>
        <v>-1648.2900000000009</v>
      </c>
      <c r="R187" s="19">
        <f t="shared" si="59"/>
        <v>-2414.267605351947</v>
      </c>
    </row>
    <row r="188" spans="1:18" ht="12.75">
      <c r="A188" s="10">
        <v>1</v>
      </c>
      <c r="B188" s="9">
        <f t="shared" si="52"/>
        <v>43101</v>
      </c>
      <c r="C188" s="125">
        <f aca="true" t="shared" si="67" ref="C188:D211">+C176</f>
        <v>43136</v>
      </c>
      <c r="D188" s="125">
        <f t="shared" si="67"/>
        <v>43151</v>
      </c>
      <c r="E188" s="60" t="s">
        <v>59</v>
      </c>
      <c r="F188" s="10">
        <v>9</v>
      </c>
      <c r="G188" s="196">
        <v>45</v>
      </c>
      <c r="H188" s="127">
        <f t="shared" si="50"/>
        <v>809.3</v>
      </c>
      <c r="I188" s="127">
        <f t="shared" si="66"/>
        <v>624.94</v>
      </c>
      <c r="J188" s="28">
        <f t="shared" si="53"/>
        <v>28122.300000000003</v>
      </c>
      <c r="K188" s="29">
        <f t="shared" si="47"/>
        <v>36418.5</v>
      </c>
      <c r="L188" s="30">
        <f t="shared" si="65"/>
        <v>-8296.199999999997</v>
      </c>
      <c r="M188" s="27">
        <f t="shared" si="54"/>
        <v>-409.2805828970361</v>
      </c>
      <c r="N188" s="19">
        <f t="shared" si="55"/>
        <v>-8705.480582897033</v>
      </c>
      <c r="O188" s="27">
        <f t="shared" si="56"/>
        <v>730.81</v>
      </c>
      <c r="P188" s="27">
        <f t="shared" si="57"/>
        <v>32886.45</v>
      </c>
      <c r="Q188" s="27">
        <f t="shared" si="58"/>
        <v>-3532.050000000003</v>
      </c>
      <c r="R188" s="19">
        <f t="shared" si="59"/>
        <v>-5173.43058289703</v>
      </c>
    </row>
    <row r="189" spans="1:18" ht="12.75">
      <c r="A189" s="3">
        <v>2</v>
      </c>
      <c r="B189" s="9">
        <f t="shared" si="52"/>
        <v>43132</v>
      </c>
      <c r="C189" s="126">
        <f t="shared" si="67"/>
        <v>43164</v>
      </c>
      <c r="D189" s="126">
        <f t="shared" si="67"/>
        <v>43179</v>
      </c>
      <c r="E189" s="35" t="s">
        <v>59</v>
      </c>
      <c r="F189" s="3">
        <v>9</v>
      </c>
      <c r="G189" s="196">
        <v>43</v>
      </c>
      <c r="H189" s="127">
        <f t="shared" si="50"/>
        <v>809.3</v>
      </c>
      <c r="I189" s="127">
        <f t="shared" si="66"/>
        <v>624.94</v>
      </c>
      <c r="J189" s="28">
        <f t="shared" si="53"/>
        <v>26872.420000000002</v>
      </c>
      <c r="K189" s="29">
        <f t="shared" si="47"/>
        <v>34799.9</v>
      </c>
      <c r="L189" s="30">
        <f t="shared" si="65"/>
        <v>-7927.48</v>
      </c>
      <c r="M189" s="27">
        <f t="shared" si="54"/>
        <v>-391.0903347682789</v>
      </c>
      <c r="N189" s="19">
        <f t="shared" si="55"/>
        <v>-8318.57033476828</v>
      </c>
      <c r="O189" s="27">
        <f t="shared" si="56"/>
        <v>730.81</v>
      </c>
      <c r="P189" s="27">
        <f t="shared" si="57"/>
        <v>31424.829999999998</v>
      </c>
      <c r="Q189" s="27">
        <f t="shared" si="58"/>
        <v>-3375.0700000000033</v>
      </c>
      <c r="R189" s="19">
        <f t="shared" si="59"/>
        <v>-4943.500334768276</v>
      </c>
    </row>
    <row r="190" spans="1:18" ht="12.75">
      <c r="A190" s="3">
        <v>3</v>
      </c>
      <c r="B190" s="9">
        <f t="shared" si="52"/>
        <v>43160</v>
      </c>
      <c r="C190" s="126">
        <f t="shared" si="67"/>
        <v>43194</v>
      </c>
      <c r="D190" s="126">
        <f t="shared" si="67"/>
        <v>43209</v>
      </c>
      <c r="E190" s="35" t="s">
        <v>59</v>
      </c>
      <c r="F190" s="3">
        <v>9</v>
      </c>
      <c r="G190" s="196">
        <v>39</v>
      </c>
      <c r="H190" s="127">
        <f t="shared" si="50"/>
        <v>809.3</v>
      </c>
      <c r="I190" s="127">
        <f t="shared" si="66"/>
        <v>624.94</v>
      </c>
      <c r="J190" s="28">
        <f t="shared" si="53"/>
        <v>24372.660000000003</v>
      </c>
      <c r="K190" s="29">
        <f t="shared" si="47"/>
        <v>31562.699999999997</v>
      </c>
      <c r="L190" s="30">
        <f>+J190-K190</f>
        <v>-7190.039999999994</v>
      </c>
      <c r="M190" s="27">
        <f t="shared" si="54"/>
        <v>-354.7098385107646</v>
      </c>
      <c r="N190" s="19">
        <f t="shared" si="55"/>
        <v>-7544.749838510758</v>
      </c>
      <c r="O190" s="27">
        <f t="shared" si="56"/>
        <v>730.81</v>
      </c>
      <c r="P190" s="27">
        <f t="shared" si="57"/>
        <v>28501.589999999997</v>
      </c>
      <c r="Q190" s="27">
        <f t="shared" si="58"/>
        <v>-3061.1100000000006</v>
      </c>
      <c r="R190" s="19">
        <f t="shared" si="59"/>
        <v>-4483.639838510758</v>
      </c>
    </row>
    <row r="191" spans="1:18" ht="12.75">
      <c r="A191" s="10">
        <v>4</v>
      </c>
      <c r="B191" s="9">
        <f t="shared" si="52"/>
        <v>43191</v>
      </c>
      <c r="C191" s="126">
        <f t="shared" si="67"/>
        <v>43223</v>
      </c>
      <c r="D191" s="126">
        <f t="shared" si="67"/>
        <v>43238</v>
      </c>
      <c r="E191" s="20" t="s">
        <v>59</v>
      </c>
      <c r="F191" s="3">
        <v>9</v>
      </c>
      <c r="G191" s="196">
        <v>39</v>
      </c>
      <c r="H191" s="127">
        <f t="shared" si="50"/>
        <v>809.3</v>
      </c>
      <c r="I191" s="127">
        <f t="shared" si="66"/>
        <v>624.94</v>
      </c>
      <c r="J191" s="28">
        <f t="shared" si="53"/>
        <v>24372.660000000003</v>
      </c>
      <c r="K191" s="29">
        <f t="shared" si="47"/>
        <v>31562.699999999997</v>
      </c>
      <c r="L191" s="30">
        <f aca="true" t="shared" si="68" ref="L191:L201">+J191-K191</f>
        <v>-7190.039999999994</v>
      </c>
      <c r="M191" s="27">
        <f t="shared" si="54"/>
        <v>-354.7098385107646</v>
      </c>
      <c r="N191" s="19">
        <f t="shared" si="55"/>
        <v>-7544.749838510758</v>
      </c>
      <c r="O191" s="27">
        <f t="shared" si="56"/>
        <v>730.81</v>
      </c>
      <c r="P191" s="27">
        <f t="shared" si="57"/>
        <v>28501.589999999997</v>
      </c>
      <c r="Q191" s="27">
        <f t="shared" si="58"/>
        <v>-3061.1100000000006</v>
      </c>
      <c r="R191" s="19">
        <f t="shared" si="59"/>
        <v>-4483.639838510758</v>
      </c>
    </row>
    <row r="192" spans="1:18" ht="12.75">
      <c r="A192" s="3">
        <v>5</v>
      </c>
      <c r="B192" s="9">
        <f t="shared" si="52"/>
        <v>43221</v>
      </c>
      <c r="C192" s="126">
        <f t="shared" si="67"/>
        <v>43256</v>
      </c>
      <c r="D192" s="126">
        <f t="shared" si="67"/>
        <v>43271</v>
      </c>
      <c r="E192" s="20" t="s">
        <v>59</v>
      </c>
      <c r="F192" s="3">
        <v>9</v>
      </c>
      <c r="G192" s="196">
        <v>56</v>
      </c>
      <c r="H192" s="127">
        <f t="shared" si="50"/>
        <v>809.3</v>
      </c>
      <c r="I192" s="127">
        <f t="shared" si="66"/>
        <v>624.94</v>
      </c>
      <c r="J192" s="28">
        <f t="shared" si="53"/>
        <v>34996.64</v>
      </c>
      <c r="K192" s="29">
        <f t="shared" si="47"/>
        <v>45320.799999999996</v>
      </c>
      <c r="L192" s="30">
        <f t="shared" si="68"/>
        <v>-10324.159999999996</v>
      </c>
      <c r="M192" s="27">
        <f t="shared" si="54"/>
        <v>-509.3269476052005</v>
      </c>
      <c r="N192" s="19">
        <f t="shared" si="55"/>
        <v>-10833.486947605197</v>
      </c>
      <c r="O192" s="27">
        <f t="shared" si="56"/>
        <v>730.81</v>
      </c>
      <c r="P192" s="27">
        <f t="shared" si="57"/>
        <v>40925.36</v>
      </c>
      <c r="Q192" s="27">
        <f t="shared" si="58"/>
        <v>-4395.439999999995</v>
      </c>
      <c r="R192" s="19">
        <f t="shared" si="59"/>
        <v>-6438.046947605202</v>
      </c>
    </row>
    <row r="193" spans="1:18" ht="12.75">
      <c r="A193" s="3">
        <v>6</v>
      </c>
      <c r="B193" s="9">
        <f t="shared" si="52"/>
        <v>43252</v>
      </c>
      <c r="C193" s="126">
        <f t="shared" si="67"/>
        <v>43286</v>
      </c>
      <c r="D193" s="126">
        <f t="shared" si="67"/>
        <v>43301</v>
      </c>
      <c r="E193" s="20" t="s">
        <v>59</v>
      </c>
      <c r="F193" s="3">
        <v>9</v>
      </c>
      <c r="G193" s="196">
        <v>57</v>
      </c>
      <c r="H193" s="127">
        <f t="shared" si="50"/>
        <v>809.3</v>
      </c>
      <c r="I193" s="127">
        <f t="shared" si="66"/>
        <v>624.94</v>
      </c>
      <c r="J193" s="28">
        <f t="shared" si="53"/>
        <v>35621.58</v>
      </c>
      <c r="K193" s="29">
        <f t="shared" si="47"/>
        <v>46130.1</v>
      </c>
      <c r="L193" s="39">
        <f t="shared" si="68"/>
        <v>-10508.519999999997</v>
      </c>
      <c r="M193" s="27">
        <f t="shared" si="54"/>
        <v>-518.422071669579</v>
      </c>
      <c r="N193" s="19">
        <f t="shared" si="55"/>
        <v>-11026.942071669575</v>
      </c>
      <c r="O193" s="27">
        <f t="shared" si="56"/>
        <v>730.81</v>
      </c>
      <c r="P193" s="27">
        <f t="shared" si="57"/>
        <v>41656.17</v>
      </c>
      <c r="Q193" s="27">
        <f t="shared" si="58"/>
        <v>-4473.93</v>
      </c>
      <c r="R193" s="19">
        <f t="shared" si="59"/>
        <v>-6553.012071669575</v>
      </c>
    </row>
    <row r="194" spans="1:18" ht="12.75">
      <c r="A194" s="10">
        <v>7</v>
      </c>
      <c r="B194" s="9">
        <f t="shared" si="52"/>
        <v>43282</v>
      </c>
      <c r="C194" s="126">
        <f t="shared" si="67"/>
        <v>43315</v>
      </c>
      <c r="D194" s="126">
        <f t="shared" si="67"/>
        <v>43330</v>
      </c>
      <c r="E194" s="20" t="s">
        <v>59</v>
      </c>
      <c r="F194" s="3">
        <v>9</v>
      </c>
      <c r="G194" s="196">
        <v>56</v>
      </c>
      <c r="H194" s="127">
        <f t="shared" si="50"/>
        <v>809.3</v>
      </c>
      <c r="I194" s="127">
        <f t="shared" si="66"/>
        <v>624.94</v>
      </c>
      <c r="J194" s="28">
        <f t="shared" si="53"/>
        <v>34996.64</v>
      </c>
      <c r="K194" s="37">
        <f t="shared" si="47"/>
        <v>45320.799999999996</v>
      </c>
      <c r="L194" s="39">
        <f t="shared" si="68"/>
        <v>-10324.159999999996</v>
      </c>
      <c r="M194" s="27">
        <f t="shared" si="54"/>
        <v>-509.3269476052005</v>
      </c>
      <c r="N194" s="19">
        <f t="shared" si="55"/>
        <v>-10833.486947605197</v>
      </c>
      <c r="O194" s="27">
        <f t="shared" si="56"/>
        <v>730.81</v>
      </c>
      <c r="P194" s="27">
        <f t="shared" si="57"/>
        <v>40925.36</v>
      </c>
      <c r="Q194" s="27">
        <f t="shared" si="58"/>
        <v>-4395.439999999995</v>
      </c>
      <c r="R194" s="19">
        <f t="shared" si="59"/>
        <v>-6438.046947605202</v>
      </c>
    </row>
    <row r="195" spans="1:18" ht="12.75">
      <c r="A195" s="3">
        <v>8</v>
      </c>
      <c r="B195" s="9">
        <f t="shared" si="52"/>
        <v>43313</v>
      </c>
      <c r="C195" s="126">
        <f t="shared" si="67"/>
        <v>43348</v>
      </c>
      <c r="D195" s="126">
        <f t="shared" si="67"/>
        <v>43363</v>
      </c>
      <c r="E195" s="20" t="s">
        <v>59</v>
      </c>
      <c r="F195" s="3">
        <v>9</v>
      </c>
      <c r="G195" s="196">
        <v>56</v>
      </c>
      <c r="H195" s="127">
        <f t="shared" si="50"/>
        <v>809.3</v>
      </c>
      <c r="I195" s="127">
        <f t="shared" si="66"/>
        <v>624.94</v>
      </c>
      <c r="J195" s="28">
        <f t="shared" si="53"/>
        <v>34996.64</v>
      </c>
      <c r="K195" s="37">
        <f t="shared" si="47"/>
        <v>45320.799999999996</v>
      </c>
      <c r="L195" s="39">
        <f t="shared" si="68"/>
        <v>-10324.159999999996</v>
      </c>
      <c r="M195" s="27">
        <f t="shared" si="54"/>
        <v>-509.3269476052005</v>
      </c>
      <c r="N195" s="19">
        <f t="shared" si="55"/>
        <v>-10833.486947605197</v>
      </c>
      <c r="O195" s="27">
        <f t="shared" si="56"/>
        <v>730.81</v>
      </c>
      <c r="P195" s="27">
        <f t="shared" si="57"/>
        <v>40925.36</v>
      </c>
      <c r="Q195" s="27">
        <f t="shared" si="58"/>
        <v>-4395.439999999995</v>
      </c>
      <c r="R195" s="19">
        <f t="shared" si="59"/>
        <v>-6438.046947605202</v>
      </c>
    </row>
    <row r="196" spans="1:18" ht="12.75">
      <c r="A196" s="3">
        <v>9</v>
      </c>
      <c r="B196" s="9">
        <f t="shared" si="52"/>
        <v>43344</v>
      </c>
      <c r="C196" s="126">
        <f t="shared" si="67"/>
        <v>43376</v>
      </c>
      <c r="D196" s="126">
        <f t="shared" si="67"/>
        <v>43391</v>
      </c>
      <c r="E196" s="20" t="s">
        <v>59</v>
      </c>
      <c r="F196" s="3">
        <v>9</v>
      </c>
      <c r="G196" s="196">
        <v>55</v>
      </c>
      <c r="H196" s="127">
        <f t="shared" si="50"/>
        <v>809.3</v>
      </c>
      <c r="I196" s="127">
        <f t="shared" si="66"/>
        <v>624.94</v>
      </c>
      <c r="J196" s="28">
        <f t="shared" si="53"/>
        <v>34371.700000000004</v>
      </c>
      <c r="K196" s="37">
        <f t="shared" si="47"/>
        <v>44511.5</v>
      </c>
      <c r="L196" s="39">
        <f t="shared" si="68"/>
        <v>-10139.799999999996</v>
      </c>
      <c r="M196" s="27">
        <f t="shared" si="54"/>
        <v>-500.2318235408219</v>
      </c>
      <c r="N196" s="19">
        <f t="shared" si="55"/>
        <v>-10640.031823540818</v>
      </c>
      <c r="O196" s="27">
        <f t="shared" si="56"/>
        <v>730.81</v>
      </c>
      <c r="P196" s="27">
        <f t="shared" si="57"/>
        <v>40194.549999999996</v>
      </c>
      <c r="Q196" s="27">
        <f t="shared" si="58"/>
        <v>-4316.950000000004</v>
      </c>
      <c r="R196" s="19">
        <f t="shared" si="59"/>
        <v>-6323.081823540813</v>
      </c>
    </row>
    <row r="197" spans="1:18" ht="12.75">
      <c r="A197" s="10">
        <v>10</v>
      </c>
      <c r="B197" s="9">
        <f t="shared" si="52"/>
        <v>43374</v>
      </c>
      <c r="C197" s="126">
        <f t="shared" si="67"/>
        <v>43409</v>
      </c>
      <c r="D197" s="126">
        <f t="shared" si="67"/>
        <v>43424</v>
      </c>
      <c r="E197" s="20" t="s">
        <v>59</v>
      </c>
      <c r="F197" s="3">
        <v>9</v>
      </c>
      <c r="G197" s="196">
        <v>52</v>
      </c>
      <c r="H197" s="127">
        <f t="shared" si="50"/>
        <v>809.3</v>
      </c>
      <c r="I197" s="127">
        <f t="shared" si="66"/>
        <v>624.94</v>
      </c>
      <c r="J197" s="28">
        <f t="shared" si="53"/>
        <v>32496.880000000005</v>
      </c>
      <c r="K197" s="37">
        <f t="shared" si="47"/>
        <v>42083.6</v>
      </c>
      <c r="L197" s="39">
        <f t="shared" si="68"/>
        <v>-9586.719999999994</v>
      </c>
      <c r="M197" s="27">
        <f t="shared" si="54"/>
        <v>-472.94645134768615</v>
      </c>
      <c r="N197" s="19">
        <f t="shared" si="55"/>
        <v>-10059.66645134768</v>
      </c>
      <c r="O197" s="27">
        <f t="shared" si="56"/>
        <v>730.81</v>
      </c>
      <c r="P197" s="27">
        <f t="shared" si="57"/>
        <v>38002.119999999995</v>
      </c>
      <c r="Q197" s="27">
        <f t="shared" si="58"/>
        <v>-4081.480000000003</v>
      </c>
      <c r="R197" s="19">
        <f t="shared" si="59"/>
        <v>-5978.186451347678</v>
      </c>
    </row>
    <row r="198" spans="1:18" ht="12.75">
      <c r="A198" s="3">
        <v>11</v>
      </c>
      <c r="B198" s="9">
        <f t="shared" si="52"/>
        <v>43405</v>
      </c>
      <c r="C198" s="126">
        <f t="shared" si="67"/>
        <v>43439</v>
      </c>
      <c r="D198" s="126">
        <f t="shared" si="67"/>
        <v>43454</v>
      </c>
      <c r="E198" s="20" t="s">
        <v>59</v>
      </c>
      <c r="F198" s="3">
        <v>9</v>
      </c>
      <c r="G198" s="196">
        <v>42</v>
      </c>
      <c r="H198" s="127">
        <f t="shared" si="50"/>
        <v>809.3</v>
      </c>
      <c r="I198" s="127">
        <f t="shared" si="66"/>
        <v>624.94</v>
      </c>
      <c r="J198" s="28">
        <f t="shared" si="53"/>
        <v>26247.480000000003</v>
      </c>
      <c r="K198" s="37">
        <f aca="true" t="shared" si="69" ref="K198:K209">+$G198*H198</f>
        <v>33990.6</v>
      </c>
      <c r="L198" s="39">
        <f t="shared" si="68"/>
        <v>-7743.119999999995</v>
      </c>
      <c r="M198" s="27">
        <f t="shared" si="54"/>
        <v>-381.99521070390034</v>
      </c>
      <c r="N198" s="19">
        <f t="shared" si="55"/>
        <v>-8125.115210703896</v>
      </c>
      <c r="O198" s="27">
        <f t="shared" si="56"/>
        <v>730.81</v>
      </c>
      <c r="P198" s="27">
        <f t="shared" si="57"/>
        <v>30694.019999999997</v>
      </c>
      <c r="Q198" s="27">
        <f t="shared" si="58"/>
        <v>-3296.5800000000017</v>
      </c>
      <c r="R198" s="19">
        <f t="shared" si="59"/>
        <v>-4828.535210703894</v>
      </c>
    </row>
    <row r="199" spans="1:18" s="34" customFormat="1" ht="12.75">
      <c r="A199" s="3">
        <v>12</v>
      </c>
      <c r="B199" s="44">
        <f t="shared" si="52"/>
        <v>43435</v>
      </c>
      <c r="C199" s="126">
        <f t="shared" si="67"/>
        <v>43468</v>
      </c>
      <c r="D199" s="126">
        <f t="shared" si="67"/>
        <v>43483</v>
      </c>
      <c r="E199" s="45" t="s">
        <v>59</v>
      </c>
      <c r="F199" s="42">
        <v>9</v>
      </c>
      <c r="G199" s="197">
        <v>41</v>
      </c>
      <c r="H199" s="127">
        <f t="shared" si="50"/>
        <v>809.3</v>
      </c>
      <c r="I199" s="128">
        <f t="shared" si="66"/>
        <v>624.94</v>
      </c>
      <c r="J199" s="46">
        <f t="shared" si="53"/>
        <v>25622.54</v>
      </c>
      <c r="K199" s="47">
        <f t="shared" si="69"/>
        <v>33181.299999999996</v>
      </c>
      <c r="L199" s="48">
        <f t="shared" si="68"/>
        <v>-7558.759999999995</v>
      </c>
      <c r="M199" s="27">
        <f t="shared" si="54"/>
        <v>-372.90008663952176</v>
      </c>
      <c r="N199" s="19">
        <f t="shared" si="55"/>
        <v>-7931.6600866395165</v>
      </c>
      <c r="O199" s="27">
        <f t="shared" si="56"/>
        <v>730.81</v>
      </c>
      <c r="P199" s="27">
        <f t="shared" si="57"/>
        <v>29963.21</v>
      </c>
      <c r="Q199" s="27">
        <f t="shared" si="58"/>
        <v>-3218.0899999999965</v>
      </c>
      <c r="R199" s="19">
        <f t="shared" si="59"/>
        <v>-4713.57008663952</v>
      </c>
    </row>
    <row r="200" spans="1:18" ht="12.75">
      <c r="A200" s="10">
        <v>1</v>
      </c>
      <c r="B200" s="9">
        <f t="shared" si="52"/>
        <v>43101</v>
      </c>
      <c r="C200" s="125">
        <f t="shared" si="67"/>
        <v>43136</v>
      </c>
      <c r="D200" s="125">
        <f t="shared" si="67"/>
        <v>43151</v>
      </c>
      <c r="E200" s="60" t="s">
        <v>17</v>
      </c>
      <c r="F200" s="10">
        <v>9</v>
      </c>
      <c r="G200" s="196">
        <v>104</v>
      </c>
      <c r="H200" s="127">
        <f t="shared" si="50"/>
        <v>809.3</v>
      </c>
      <c r="I200" s="127">
        <f t="shared" si="66"/>
        <v>624.94</v>
      </c>
      <c r="J200" s="28">
        <f t="shared" si="53"/>
        <v>64993.76000000001</v>
      </c>
      <c r="K200" s="29">
        <f t="shared" si="69"/>
        <v>84167.2</v>
      </c>
      <c r="L200" s="30">
        <f t="shared" si="68"/>
        <v>-19173.439999999988</v>
      </c>
      <c r="M200" s="27">
        <f t="shared" si="54"/>
        <v>-945.8929026953723</v>
      </c>
      <c r="N200" s="19">
        <f t="shared" si="55"/>
        <v>-20119.33290269536</v>
      </c>
      <c r="O200" s="27">
        <f t="shared" si="56"/>
        <v>730.81</v>
      </c>
      <c r="P200" s="27">
        <f t="shared" si="57"/>
        <v>76004.23999999999</v>
      </c>
      <c r="Q200" s="27">
        <f t="shared" si="58"/>
        <v>-8162.960000000006</v>
      </c>
      <c r="R200" s="19">
        <f t="shared" si="59"/>
        <v>-11956.372902695355</v>
      </c>
    </row>
    <row r="201" spans="1:18" ht="12.75">
      <c r="A201" s="3">
        <v>2</v>
      </c>
      <c r="B201" s="9">
        <f t="shared" si="52"/>
        <v>43132</v>
      </c>
      <c r="C201" s="126">
        <f t="shared" si="67"/>
        <v>43164</v>
      </c>
      <c r="D201" s="126">
        <f t="shared" si="67"/>
        <v>43179</v>
      </c>
      <c r="E201" s="35" t="s">
        <v>17</v>
      </c>
      <c r="F201" s="3">
        <v>9</v>
      </c>
      <c r="G201" s="196">
        <v>98</v>
      </c>
      <c r="H201" s="127">
        <f t="shared" si="50"/>
        <v>809.3</v>
      </c>
      <c r="I201" s="127">
        <f t="shared" si="66"/>
        <v>624.94</v>
      </c>
      <c r="J201" s="28">
        <f t="shared" si="53"/>
        <v>61244.12</v>
      </c>
      <c r="K201" s="29">
        <f t="shared" si="69"/>
        <v>79311.4</v>
      </c>
      <c r="L201" s="30">
        <f t="shared" si="68"/>
        <v>-18067.27999999999</v>
      </c>
      <c r="M201" s="27">
        <f t="shared" si="54"/>
        <v>-891.3221583091008</v>
      </c>
      <c r="N201" s="19">
        <f t="shared" si="55"/>
        <v>-18958.60215830909</v>
      </c>
      <c r="O201" s="27">
        <f t="shared" si="56"/>
        <v>730.81</v>
      </c>
      <c r="P201" s="27">
        <f t="shared" si="57"/>
        <v>71619.37999999999</v>
      </c>
      <c r="Q201" s="27">
        <f t="shared" si="58"/>
        <v>-7692.020000000004</v>
      </c>
      <c r="R201" s="19">
        <f t="shared" si="59"/>
        <v>-11266.582158309087</v>
      </c>
    </row>
    <row r="202" spans="1:18" ht="12.75">
      <c r="A202" s="3">
        <v>3</v>
      </c>
      <c r="B202" s="9">
        <f t="shared" si="52"/>
        <v>43160</v>
      </c>
      <c r="C202" s="126">
        <f t="shared" si="67"/>
        <v>43194</v>
      </c>
      <c r="D202" s="126">
        <f t="shared" si="67"/>
        <v>43209</v>
      </c>
      <c r="E202" s="35" t="s">
        <v>17</v>
      </c>
      <c r="F202" s="3">
        <v>9</v>
      </c>
      <c r="G202" s="196">
        <v>90</v>
      </c>
      <c r="H202" s="127">
        <f t="shared" si="50"/>
        <v>809.3</v>
      </c>
      <c r="I202" s="127">
        <f t="shared" si="66"/>
        <v>624.94</v>
      </c>
      <c r="J202" s="28">
        <f t="shared" si="53"/>
        <v>56244.600000000006</v>
      </c>
      <c r="K202" s="29">
        <f t="shared" si="69"/>
        <v>72837</v>
      </c>
      <c r="L202" s="30">
        <f>+J202-K202</f>
        <v>-16592.399999999994</v>
      </c>
      <c r="M202" s="27">
        <f t="shared" si="54"/>
        <v>-818.5611657940722</v>
      </c>
      <c r="N202" s="19">
        <f t="shared" si="55"/>
        <v>-17410.961165794066</v>
      </c>
      <c r="O202" s="27">
        <f t="shared" si="56"/>
        <v>730.81</v>
      </c>
      <c r="P202" s="27">
        <f t="shared" si="57"/>
        <v>65772.9</v>
      </c>
      <c r="Q202" s="27">
        <f t="shared" si="58"/>
        <v>-7064.100000000006</v>
      </c>
      <c r="R202" s="19">
        <f t="shared" si="59"/>
        <v>-10346.86116579406</v>
      </c>
    </row>
    <row r="203" spans="1:18" ht="12.75">
      <c r="A203" s="10">
        <v>4</v>
      </c>
      <c r="B203" s="9">
        <f t="shared" si="52"/>
        <v>43191</v>
      </c>
      <c r="C203" s="126">
        <f t="shared" si="67"/>
        <v>43223</v>
      </c>
      <c r="D203" s="126">
        <f t="shared" si="67"/>
        <v>43238</v>
      </c>
      <c r="E203" s="35" t="s">
        <v>17</v>
      </c>
      <c r="F203" s="3">
        <v>9</v>
      </c>
      <c r="G203" s="196">
        <v>61</v>
      </c>
      <c r="H203" s="127">
        <f t="shared" si="50"/>
        <v>809.3</v>
      </c>
      <c r="I203" s="127">
        <f t="shared" si="66"/>
        <v>624.94</v>
      </c>
      <c r="J203" s="28">
        <f t="shared" si="53"/>
        <v>38121.340000000004</v>
      </c>
      <c r="K203" s="29">
        <f t="shared" si="69"/>
        <v>49367.299999999996</v>
      </c>
      <c r="L203" s="30">
        <f aca="true" t="shared" si="70" ref="L203:L211">+J203-K203</f>
        <v>-11245.959999999992</v>
      </c>
      <c r="M203" s="27">
        <f t="shared" si="54"/>
        <v>-554.8025679270934</v>
      </c>
      <c r="N203" s="19">
        <f t="shared" si="55"/>
        <v>-11800.762567927086</v>
      </c>
      <c r="O203" s="27">
        <f t="shared" si="56"/>
        <v>730.81</v>
      </c>
      <c r="P203" s="27">
        <f t="shared" si="57"/>
        <v>44579.409999999996</v>
      </c>
      <c r="Q203" s="27">
        <f t="shared" si="58"/>
        <v>-4787.889999999999</v>
      </c>
      <c r="R203" s="19">
        <f t="shared" si="59"/>
        <v>-7012.8725679270865</v>
      </c>
    </row>
    <row r="204" spans="1:18" ht="12.75">
      <c r="A204" s="3">
        <v>5</v>
      </c>
      <c r="B204" s="9">
        <f t="shared" si="52"/>
        <v>43221</v>
      </c>
      <c r="C204" s="126">
        <f t="shared" si="67"/>
        <v>43256</v>
      </c>
      <c r="D204" s="126">
        <f t="shared" si="67"/>
        <v>43271</v>
      </c>
      <c r="E204" s="20" t="s">
        <v>17</v>
      </c>
      <c r="F204" s="3">
        <v>9</v>
      </c>
      <c r="G204" s="196">
        <v>102</v>
      </c>
      <c r="H204" s="127">
        <f t="shared" si="50"/>
        <v>809.3</v>
      </c>
      <c r="I204" s="127">
        <f t="shared" si="66"/>
        <v>624.94</v>
      </c>
      <c r="J204" s="28">
        <f t="shared" si="53"/>
        <v>63743.880000000005</v>
      </c>
      <c r="K204" s="29">
        <f t="shared" si="69"/>
        <v>82548.59999999999</v>
      </c>
      <c r="L204" s="30">
        <f t="shared" si="70"/>
        <v>-18804.719999999987</v>
      </c>
      <c r="M204" s="27">
        <f t="shared" si="54"/>
        <v>-927.7026545666151</v>
      </c>
      <c r="N204" s="19">
        <f t="shared" si="55"/>
        <v>-19732.422654566602</v>
      </c>
      <c r="O204" s="27">
        <f t="shared" si="56"/>
        <v>730.81</v>
      </c>
      <c r="P204" s="27">
        <f t="shared" si="57"/>
        <v>74542.62</v>
      </c>
      <c r="Q204" s="27">
        <f t="shared" si="58"/>
        <v>-8005.979999999996</v>
      </c>
      <c r="R204" s="19">
        <f t="shared" si="59"/>
        <v>-11726.442654566607</v>
      </c>
    </row>
    <row r="205" spans="1:18" ht="12.75">
      <c r="A205" s="3">
        <v>6</v>
      </c>
      <c r="B205" s="9">
        <f t="shared" si="52"/>
        <v>43252</v>
      </c>
      <c r="C205" s="126">
        <f t="shared" si="67"/>
        <v>43286</v>
      </c>
      <c r="D205" s="126">
        <f t="shared" si="67"/>
        <v>43301</v>
      </c>
      <c r="E205" s="20" t="s">
        <v>17</v>
      </c>
      <c r="F205" s="3">
        <v>9</v>
      </c>
      <c r="G205" s="196">
        <v>106</v>
      </c>
      <c r="H205" s="127">
        <f t="shared" si="50"/>
        <v>809.3</v>
      </c>
      <c r="I205" s="127">
        <f t="shared" si="66"/>
        <v>624.94</v>
      </c>
      <c r="J205" s="28">
        <f t="shared" si="53"/>
        <v>66243.64</v>
      </c>
      <c r="K205" s="29">
        <f t="shared" si="69"/>
        <v>85785.79999999999</v>
      </c>
      <c r="L205" s="39">
        <f t="shared" si="70"/>
        <v>-19542.15999999999</v>
      </c>
      <c r="M205" s="27">
        <f t="shared" si="54"/>
        <v>-964.0831508241295</v>
      </c>
      <c r="N205" s="19">
        <f t="shared" si="55"/>
        <v>-20506.243150824117</v>
      </c>
      <c r="O205" s="27">
        <f t="shared" si="56"/>
        <v>730.81</v>
      </c>
      <c r="P205" s="27">
        <f t="shared" si="57"/>
        <v>77465.86</v>
      </c>
      <c r="Q205" s="27">
        <f t="shared" si="58"/>
        <v>-8319.939999999988</v>
      </c>
      <c r="R205" s="19">
        <f t="shared" si="59"/>
        <v>-12186.30315082413</v>
      </c>
    </row>
    <row r="206" spans="1:18" ht="12.75">
      <c r="A206" s="10">
        <v>7</v>
      </c>
      <c r="B206" s="9">
        <f t="shared" si="52"/>
        <v>43282</v>
      </c>
      <c r="C206" s="126">
        <f t="shared" si="67"/>
        <v>43315</v>
      </c>
      <c r="D206" s="126">
        <f t="shared" si="67"/>
        <v>43330</v>
      </c>
      <c r="E206" s="20" t="s">
        <v>17</v>
      </c>
      <c r="F206" s="3">
        <v>9</v>
      </c>
      <c r="G206" s="196">
        <v>108</v>
      </c>
      <c r="H206" s="127">
        <f t="shared" si="50"/>
        <v>809.3</v>
      </c>
      <c r="I206" s="127">
        <f t="shared" si="66"/>
        <v>624.94</v>
      </c>
      <c r="J206" s="28">
        <f t="shared" si="53"/>
        <v>67493.52</v>
      </c>
      <c r="K206" s="37">
        <f t="shared" si="69"/>
        <v>87404.4</v>
      </c>
      <c r="L206" s="39">
        <f t="shared" si="70"/>
        <v>-19910.87999999999</v>
      </c>
      <c r="M206" s="27">
        <f t="shared" si="54"/>
        <v>-982.2733989528866</v>
      </c>
      <c r="N206" s="19">
        <f t="shared" si="55"/>
        <v>-20893.153398952876</v>
      </c>
      <c r="O206" s="27">
        <f t="shared" si="56"/>
        <v>730.81</v>
      </c>
      <c r="P206" s="27">
        <f t="shared" si="57"/>
        <v>78927.48</v>
      </c>
      <c r="Q206" s="27">
        <f t="shared" si="58"/>
        <v>-8476.919999999998</v>
      </c>
      <c r="R206" s="19">
        <f t="shared" si="59"/>
        <v>-12416.233398952878</v>
      </c>
    </row>
    <row r="207" spans="1:18" ht="12.75">
      <c r="A207" s="3">
        <v>8</v>
      </c>
      <c r="B207" s="9">
        <f t="shared" si="52"/>
        <v>43313</v>
      </c>
      <c r="C207" s="126">
        <f t="shared" si="67"/>
        <v>43348</v>
      </c>
      <c r="D207" s="126">
        <f t="shared" si="67"/>
        <v>43363</v>
      </c>
      <c r="E207" s="20" t="s">
        <v>17</v>
      </c>
      <c r="F207" s="3">
        <v>9</v>
      </c>
      <c r="G207" s="196">
        <v>104</v>
      </c>
      <c r="H207" s="127">
        <f t="shared" si="50"/>
        <v>809.3</v>
      </c>
      <c r="I207" s="127">
        <f t="shared" si="66"/>
        <v>624.94</v>
      </c>
      <c r="J207" s="28">
        <f t="shared" si="53"/>
        <v>64993.76000000001</v>
      </c>
      <c r="K207" s="37">
        <f t="shared" si="69"/>
        <v>84167.2</v>
      </c>
      <c r="L207" s="39">
        <f t="shared" si="70"/>
        <v>-19173.439999999988</v>
      </c>
      <c r="M207" s="27">
        <f t="shared" si="54"/>
        <v>-945.8929026953723</v>
      </c>
      <c r="N207" s="19">
        <f t="shared" si="55"/>
        <v>-20119.33290269536</v>
      </c>
      <c r="O207" s="27">
        <f t="shared" si="56"/>
        <v>730.81</v>
      </c>
      <c r="P207" s="27">
        <f t="shared" si="57"/>
        <v>76004.23999999999</v>
      </c>
      <c r="Q207" s="27">
        <f t="shared" si="58"/>
        <v>-8162.960000000006</v>
      </c>
      <c r="R207" s="19">
        <f t="shared" si="59"/>
        <v>-11956.372902695355</v>
      </c>
    </row>
    <row r="208" spans="1:18" ht="12.75">
      <c r="A208" s="3">
        <v>9</v>
      </c>
      <c r="B208" s="9">
        <f t="shared" si="52"/>
        <v>43344</v>
      </c>
      <c r="C208" s="126">
        <f t="shared" si="67"/>
        <v>43376</v>
      </c>
      <c r="D208" s="126">
        <f t="shared" si="67"/>
        <v>43391</v>
      </c>
      <c r="E208" s="20" t="s">
        <v>17</v>
      </c>
      <c r="F208" s="3">
        <v>9</v>
      </c>
      <c r="G208" s="196">
        <v>110</v>
      </c>
      <c r="H208" s="127">
        <f t="shared" si="50"/>
        <v>809.3</v>
      </c>
      <c r="I208" s="127">
        <f t="shared" si="66"/>
        <v>624.94</v>
      </c>
      <c r="J208" s="28">
        <f t="shared" si="53"/>
        <v>68743.40000000001</v>
      </c>
      <c r="K208" s="37">
        <f t="shared" si="69"/>
        <v>89023</v>
      </c>
      <c r="L208" s="39">
        <f t="shared" si="70"/>
        <v>-20279.59999999999</v>
      </c>
      <c r="M208" s="27">
        <f t="shared" si="54"/>
        <v>-1000.4636470816438</v>
      </c>
      <c r="N208" s="19">
        <f t="shared" si="55"/>
        <v>-21280.063647081635</v>
      </c>
      <c r="O208" s="27">
        <f t="shared" si="56"/>
        <v>730.81</v>
      </c>
      <c r="P208" s="27">
        <f t="shared" si="57"/>
        <v>80389.09999999999</v>
      </c>
      <c r="Q208" s="27">
        <f t="shared" si="58"/>
        <v>-8633.900000000009</v>
      </c>
      <c r="R208" s="19">
        <f t="shared" si="59"/>
        <v>-12646.163647081627</v>
      </c>
    </row>
    <row r="209" spans="1:18" ht="12.75">
      <c r="A209" s="10">
        <v>10</v>
      </c>
      <c r="B209" s="9">
        <f t="shared" si="52"/>
        <v>43374</v>
      </c>
      <c r="C209" s="126">
        <f t="shared" si="67"/>
        <v>43409</v>
      </c>
      <c r="D209" s="126">
        <f t="shared" si="67"/>
        <v>43424</v>
      </c>
      <c r="E209" s="20" t="s">
        <v>17</v>
      </c>
      <c r="F209" s="3">
        <v>9</v>
      </c>
      <c r="G209" s="196">
        <v>109</v>
      </c>
      <c r="H209" s="127">
        <f t="shared" si="50"/>
        <v>809.3</v>
      </c>
      <c r="I209" s="127">
        <f t="shared" si="66"/>
        <v>624.94</v>
      </c>
      <c r="J209" s="28">
        <f t="shared" si="53"/>
        <v>68118.46</v>
      </c>
      <c r="K209" s="37">
        <f t="shared" si="69"/>
        <v>88213.7</v>
      </c>
      <c r="L209" s="39">
        <f t="shared" si="70"/>
        <v>-20095.23999999999</v>
      </c>
      <c r="M209" s="27">
        <f t="shared" si="54"/>
        <v>-991.3685230172651</v>
      </c>
      <c r="N209" s="19">
        <f t="shared" si="55"/>
        <v>-21086.608523017258</v>
      </c>
      <c r="O209" s="27">
        <f t="shared" si="56"/>
        <v>730.81</v>
      </c>
      <c r="P209" s="27">
        <f t="shared" si="57"/>
        <v>79658.29</v>
      </c>
      <c r="Q209" s="27">
        <f t="shared" si="58"/>
        <v>-8555.410000000003</v>
      </c>
      <c r="R209" s="19">
        <f t="shared" si="59"/>
        <v>-12531.198523017254</v>
      </c>
    </row>
    <row r="210" spans="1:18" ht="12.75">
      <c r="A210" s="3">
        <v>11</v>
      </c>
      <c r="B210" s="9">
        <f t="shared" si="52"/>
        <v>43405</v>
      </c>
      <c r="C210" s="126">
        <f t="shared" si="67"/>
        <v>43439</v>
      </c>
      <c r="D210" s="126">
        <f t="shared" si="67"/>
        <v>43454</v>
      </c>
      <c r="E210" s="20" t="s">
        <v>17</v>
      </c>
      <c r="F210" s="3">
        <v>9</v>
      </c>
      <c r="G210" s="196">
        <v>101</v>
      </c>
      <c r="H210" s="127">
        <f t="shared" si="50"/>
        <v>809.3</v>
      </c>
      <c r="I210" s="127">
        <f t="shared" si="66"/>
        <v>624.94</v>
      </c>
      <c r="J210" s="28">
        <f t="shared" si="53"/>
        <v>63118.94</v>
      </c>
      <c r="K210" s="37">
        <f>+$G210*H210</f>
        <v>81739.29999999999</v>
      </c>
      <c r="L210" s="39">
        <f t="shared" si="70"/>
        <v>-18620.359999999986</v>
      </c>
      <c r="M210" s="27">
        <f t="shared" si="54"/>
        <v>-918.6075305022365</v>
      </c>
      <c r="N210" s="19">
        <f t="shared" si="55"/>
        <v>-19538.96753050222</v>
      </c>
      <c r="O210" s="27">
        <f t="shared" si="56"/>
        <v>730.81</v>
      </c>
      <c r="P210" s="27">
        <f t="shared" si="57"/>
        <v>73811.81</v>
      </c>
      <c r="Q210" s="27">
        <f t="shared" si="58"/>
        <v>-7927.489999999991</v>
      </c>
      <c r="R210" s="19">
        <f t="shared" si="59"/>
        <v>-11611.47753050223</v>
      </c>
    </row>
    <row r="211" spans="1:18" s="34" customFormat="1" ht="12.75">
      <c r="A211" s="3">
        <v>12</v>
      </c>
      <c r="B211" s="44">
        <f t="shared" si="52"/>
        <v>43435</v>
      </c>
      <c r="C211" s="137">
        <f t="shared" si="67"/>
        <v>43468</v>
      </c>
      <c r="D211" s="137">
        <f t="shared" si="67"/>
        <v>43483</v>
      </c>
      <c r="E211" s="45" t="s">
        <v>17</v>
      </c>
      <c r="F211" s="42">
        <v>9</v>
      </c>
      <c r="G211" s="197">
        <v>102</v>
      </c>
      <c r="H211" s="127">
        <f t="shared" si="50"/>
        <v>809.3</v>
      </c>
      <c r="I211" s="128">
        <f t="shared" si="66"/>
        <v>624.94</v>
      </c>
      <c r="J211" s="46">
        <f t="shared" si="53"/>
        <v>63743.880000000005</v>
      </c>
      <c r="K211" s="47">
        <f>+$G211*H211</f>
        <v>82548.59999999999</v>
      </c>
      <c r="L211" s="48">
        <f t="shared" si="70"/>
        <v>-18804.719999999987</v>
      </c>
      <c r="M211" s="46">
        <f t="shared" si="54"/>
        <v>-927.7026545666151</v>
      </c>
      <c r="N211" s="19">
        <f t="shared" si="55"/>
        <v>-19732.422654566602</v>
      </c>
      <c r="O211" s="46">
        <f t="shared" si="56"/>
        <v>730.81</v>
      </c>
      <c r="P211" s="228">
        <f t="shared" si="57"/>
        <v>74542.62</v>
      </c>
      <c r="Q211" s="27">
        <f t="shared" si="58"/>
        <v>-8005.979999999996</v>
      </c>
      <c r="R211" s="19">
        <f t="shared" si="59"/>
        <v>-11726.442654566607</v>
      </c>
    </row>
    <row r="212" spans="7:18" ht="12.75">
      <c r="G212" s="198">
        <f>SUM(G20:G211)</f>
        <v>102517</v>
      </c>
      <c r="H212" s="151"/>
      <c r="I212" s="151"/>
      <c r="J212" s="151">
        <f>SUM(J20:J211)</f>
        <v>64066973.98000003</v>
      </c>
      <c r="K212" s="151">
        <f>SUM(K20:K211)</f>
        <v>82967008.1</v>
      </c>
      <c r="L212" s="151">
        <f>SUM(L20:L211)</f>
        <v>-18900034.11999996</v>
      </c>
      <c r="M212" s="151">
        <f>SUM(M20:M211)</f>
        <v>-932404.833707899</v>
      </c>
      <c r="N212" s="151"/>
      <c r="O212" s="151"/>
      <c r="P212" s="151">
        <f>SUM(P20:P211)</f>
        <v>74920448.7700001</v>
      </c>
      <c r="Q212" s="151"/>
      <c r="R212" s="229">
        <f>SUM(R20:R211)</f>
        <v>-11785879.623707883</v>
      </c>
    </row>
    <row r="213" spans="16:17" ht="12.75">
      <c r="P213" s="151"/>
      <c r="Q213" s="151"/>
    </row>
    <row r="220" spans="4:17" ht="12.75">
      <c r="D220"/>
      <c r="F220"/>
      <c r="G220"/>
      <c r="H220"/>
      <c r="I220"/>
      <c r="J220"/>
      <c r="K220"/>
      <c r="L220"/>
      <c r="M220"/>
      <c r="N220"/>
      <c r="O220"/>
      <c r="P220"/>
      <c r="Q220"/>
    </row>
  </sheetData>
  <sheetProtection/>
  <mergeCells count="4">
    <mergeCell ref="G2:H2"/>
    <mergeCell ref="G3:H3"/>
    <mergeCell ref="G7:H7"/>
    <mergeCell ref="G8:H8"/>
  </mergeCells>
  <printOptions/>
  <pageMargins left="0.5" right="0.25" top="1.05" bottom="1" header="0.31" footer="0.5"/>
  <pageSetup cellComments="asDisplayed" fitToHeight="0" fitToWidth="0" horizontalDpi="600" verticalDpi="600" orientation="landscape" scale="60" r:id="rId3"/>
  <headerFooter alignWithMargins="0">
    <oddHeader>&amp;R&amp;F  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12" sqref="B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>AEP Internal</cp:keywords>
  <dc:description/>
  <cp:lastModifiedBy>s177040</cp:lastModifiedBy>
  <cp:lastPrinted>2019-05-28T15:16:15Z</cp:lastPrinted>
  <dcterms:created xsi:type="dcterms:W3CDTF">2009-09-04T18:19:13Z</dcterms:created>
  <dcterms:modified xsi:type="dcterms:W3CDTF">2019-05-28T15:16:37Z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90b7da01-4088-436e-908a-f2401c1a030d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